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Web Projects\Coal Production\"/>
    </mc:Choice>
  </mc:AlternateContent>
  <xr:revisionPtr revIDLastSave="0" documentId="13_ncr:1_{946F6F2D-856F-424F-84BF-AA2EEF6501C5}" xr6:coauthVersionLast="47" xr6:coauthVersionMax="47" xr10:uidLastSave="{00000000-0000-0000-0000-000000000000}"/>
  <bookViews>
    <workbookView xWindow="-120" yWindow="-120" windowWidth="29040" windowHeight="15840" tabRatio="641" xr2:uid="{00000000-000D-0000-FFFF-FFFF00000000}"/>
  </bookViews>
  <sheets>
    <sheet name="Annual Production thru 2021" sheetId="5" r:id="rId1"/>
    <sheet name="Annual Permit Fees 2021" sheetId="17" r:id="rId2"/>
    <sheet name="12-Yr Prod Summary" sheetId="10" state="hidden" r:id="rId3"/>
    <sheet name="Graphs" sheetId="27" state="hidden" r:id="rId4"/>
    <sheet name="SUM 2021" sheetId="29" r:id="rId5"/>
    <sheet name="SUM 2020" sheetId="26" state="hidden" r:id="rId6"/>
    <sheet name="SUM 2019" sheetId="25" state="hidden" r:id="rId7"/>
    <sheet name="SUM 2018" sheetId="24" state="hidden" r:id="rId8"/>
    <sheet name="SUM 2017" sheetId="23" state="hidden" r:id="rId9"/>
    <sheet name="SUM 2016" sheetId="22" state="hidden" r:id="rId10"/>
    <sheet name="SUM 2015" sheetId="21" state="hidden" r:id="rId11"/>
    <sheet name="SUM2014" sheetId="20" state="hidden" r:id="rId12"/>
    <sheet name="SUM2013" sheetId="19" state="hidden" r:id="rId13"/>
    <sheet name="SUM2012" sheetId="18" state="hidden" r:id="rId14"/>
    <sheet name="SUM2011" sheetId="16" state="hidden" r:id="rId15"/>
    <sheet name="SUM2010" sheetId="15" state="hidden" r:id="rId16"/>
    <sheet name="SUM2009" sheetId="14" state="hidden" r:id="rId17"/>
    <sheet name="SUM2008" sheetId="13" state="hidden" r:id="rId18"/>
    <sheet name="SUM2007" sheetId="12" state="hidden" r:id="rId19"/>
    <sheet name="SUM2006" sheetId="11" state="hidden" r:id="rId20"/>
    <sheet name="SUM2005" sheetId="9" state="hidden" r:id="rId21"/>
    <sheet name="SUM2004" sheetId="8" state="hidden" r:id="rId22"/>
    <sheet name="Sheet1" sheetId="28" state="hidden" r:id="rId23"/>
    <sheet name="SUM2003" sheetId="7" state="hidden" r:id="rId24"/>
    <sheet name="SUM2002" sheetId="6" state="hidden" r:id="rId25"/>
    <sheet name="SUM2001" sheetId="2" state="hidden" r:id="rId26"/>
    <sheet name="SUM2000" sheetId="3" state="hidden" r:id="rId27"/>
    <sheet name="Thru 1999" sheetId="4" state="hidden" r:id="rId28"/>
    <sheet name="A" sheetId="1" state="hidden" r:id="rId29"/>
  </sheets>
  <definedNames>
    <definedName name="_xlnm._FilterDatabase" localSheetId="3" hidden="1">Graphs!$A$10:$B$25</definedName>
    <definedName name="Darco_receipts_2002___2009" localSheetId="2">'12-Yr Prod Summary'!$N$4:$W$22</definedName>
    <definedName name="_xlnm.Print_Area" localSheetId="2">'12-Yr Prod Summary'!$B$1:$L$51</definedName>
    <definedName name="_xlnm.Print_Area" localSheetId="28">A!$A$7:$X$40</definedName>
    <definedName name="_xlnm.Print_Area" localSheetId="1">'Annual Permit Fees 2021'!$A$1:$H$51</definedName>
    <definedName name="_xlnm.Print_Area" localSheetId="0">'Annual Production thru 2021'!$A$1:$AX$53</definedName>
    <definedName name="_xlnm.Print_Area" localSheetId="10">'SUM 2015'!$A$1:$K$49</definedName>
    <definedName name="_xlnm.Print_Area" localSheetId="8">'SUM 2017'!$A$1:$J$49</definedName>
    <definedName name="_xlnm.Print_Area" localSheetId="6">'SUM 2019'!$A$1:$J$50</definedName>
    <definedName name="_xlnm.Print_Area" localSheetId="5">'SUM 2020'!$A$1:$J$50</definedName>
    <definedName name="_xlnm.Print_Area" localSheetId="4">'SUM 2021'!$A$1:$J$50</definedName>
    <definedName name="_xlnm.Print_Area" localSheetId="26">'SUM2000'!$G$3:$Y$41</definedName>
    <definedName name="_xlnm.Print_Area" localSheetId="25">'SUM2001'!$A$1:$AA$40</definedName>
    <definedName name="_xlnm.Print_Area" localSheetId="24">'SUM2002'!$A$1:$F$41</definedName>
    <definedName name="_xlnm.Print_Area" localSheetId="23">'SUM2003'!$A$1:$I$39</definedName>
    <definedName name="_xlnm.Print_Area" localSheetId="20">'SUM2005'!$A$1:$M$40</definedName>
    <definedName name="_xlnm.Print_Area" localSheetId="19">'SUM2006'!$A$1:$N$38</definedName>
    <definedName name="_xlnm.Print_Area" localSheetId="18">'SUM2007'!$A$1:$K$39</definedName>
    <definedName name="_xlnm.Print_Area" localSheetId="17">'SUM2008'!$A$1:$K$42</definedName>
    <definedName name="_xlnm.Print_Area" localSheetId="16">'SUM2009'!$A$1:$K$43</definedName>
    <definedName name="_xlnm.Print_Area" localSheetId="15">'SUM2010'!$A$1:$K$43</definedName>
    <definedName name="_xlnm.Print_Area" localSheetId="14">'SUM2011'!$A$1:$K$45</definedName>
    <definedName name="_xlnm.Print_Area" localSheetId="13">'SUM2012'!$A$1:$K$49</definedName>
    <definedName name="_xlnm.Print_Area" localSheetId="12">'SUM2013'!$A$1:$H$51</definedName>
    <definedName name="_xlnm.Print_Area" localSheetId="11">'SUM2014'!$A$1:$K$49</definedName>
    <definedName name="_xlnm.Print_Area" localSheetId="27">'Thru 1999'!$A$3:$AC$41</definedName>
    <definedName name="_xlnm.Print_Titles" localSheetId="28">A!$1:$6</definedName>
    <definedName name="_xlnm.Print_Titles" localSheetId="0">'Annual Production thru 2021'!$A:$B</definedName>
    <definedName name="_xlnm.Print_Titles" localSheetId="26">'SUM2000'!$1:$6</definedName>
    <definedName name="_xlnm.Print_Titles" localSheetId="27">'Thru 1999'!$A:$B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SUM 2015_c2ad563a-6745-4c56-926c-a6bffade6c49" name="SUM 2015" connection="Query - SUM 2015"/>
          <x15:modelTable id="SUM 2016_f20c7195-ffdf-4d2b-9723-d0bca96f1f19" name="SUM 2016" connection="Query - SUM 2016"/>
          <x15:modelTable id="SUM 2017_94dffc35-cbbc-42ab-87a6-431cb073442b" name="SUM 2017" connection="Query - SUM 2017"/>
          <x15:modelTable id="SUM 2018_2acc636a-71c9-49e3-8d51-cc39d1ffc9fc" name="SUM 2018" connection="Query - SUM 2018"/>
          <x15:modelTable id="SUM 2019_17ebaedb-2f4c-4b3d-ba3f-0e722cd7fa3f" name="SUM 2019" connection="Query - SUM 2019"/>
          <x15:modelTable id="SUM 2020_8b68079c-6c56-4cee-ab25-9e15c2f4f612" name="SUM 2020" connection="Query - SUM 2020"/>
          <x15:modelTable id="SUM2000_8e5516e4-66ec-4222-b1e9-43464bb4feb9" name="SUM2000" connection="Query - SUM2000"/>
          <x15:modelTable id="SUM2001_a5fddc0a-46bc-452f-bc86-2fafa08a16db" name="SUM2001" connection="Query - SUM2001"/>
          <x15:modelTable id="SUM2002_a59b9c1a-f800-4c9b-a657-27f1338c608c" name="SUM2002" connection="Query - SUM2002"/>
          <x15:modelTable id="SUM2003_9abe526f-dcf1-4e9b-a917-1492b20eee75" name="SUM2003" connection="Query - SUM2003"/>
          <x15:modelTable id="SUM2004_41abc270-14c6-4027-b744-2837bcb1d0da" name="SUM2004" connection="Query - SUM2004"/>
          <x15:modelTable id="SUM2005_09765596-5b6b-4961-a0cf-ebd51e3b1660" name="SUM2005" connection="Query - SUM2005"/>
          <x15:modelTable id="SUM2006_f02293ed-ac8b-4e2a-b2f0-410bfa01eaa4" name="SUM2006" connection="Query - SUM2006"/>
          <x15:modelTable id="SUM2007_adc5dad6-563e-4a57-b3b6-bc57b223ea51" name="SUM2007" connection="Query - SUM2007"/>
          <x15:modelTable id="SUM2008_177ebbde-2dba-41d4-9f7b-f2e5f1602981" name="SUM2008" connection="Query - SUM2008"/>
          <x15:modelTable id="SUM2009_caca3f7a-d661-4ad1-acda-67d046103c23" name="SUM2009" connection="Query - SUM2009"/>
          <x15:modelTable id="SUM2010_347613f1-5fb8-439e-ac21-32841d6b5c4a" name="SUM2010" connection="Query - SUM2010"/>
          <x15:modelTable id="SUM2011_abbcf0d9-1606-4ac4-9a20-259d47a60978" name="SUM2011" connection="Query - SUM2011"/>
          <x15:modelTable id="SUM2012_a8b94d08-07c1-4227-88b0-298da03dfa10" name="SUM2012" connection="Query - SUM2012"/>
          <x15:modelTable id="SUM2013_d1c5b88a-5f4c-443c-b023-d2bd4c232436" name="SUM2013" connection="Query - SUM2013"/>
          <x15:modelTable id="SUM2014_4b25b755-2d1e-4aae-b823-bf01bb66466f" name="SUM2014" connection="Query - SUM2014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55" i="10" l="1"/>
  <c r="R56" i="10"/>
  <c r="Q47" i="10"/>
  <c r="AB26" i="10" l="1"/>
  <c r="AC26" i="10" s="1"/>
  <c r="AB25" i="10"/>
  <c r="AC25" i="10" s="1"/>
  <c r="K23" i="10" l="1"/>
  <c r="H33" i="10" l="1"/>
  <c r="H25" i="10"/>
  <c r="K25" i="10" s="1"/>
  <c r="H28" i="10"/>
  <c r="H29" i="10"/>
  <c r="H30" i="10"/>
  <c r="H32" i="10"/>
  <c r="K24" i="10"/>
  <c r="K22" i="10"/>
  <c r="M50" i="29"/>
  <c r="M49" i="29"/>
  <c r="M47" i="29"/>
  <c r="M46" i="29"/>
  <c r="M45" i="29"/>
  <c r="M44" i="29"/>
  <c r="M43" i="29"/>
  <c r="M42" i="29"/>
  <c r="M41" i="29"/>
  <c r="M40" i="29"/>
  <c r="M39" i="29"/>
  <c r="M38" i="29"/>
  <c r="M37" i="29"/>
  <c r="M36" i="29"/>
  <c r="M35" i="29"/>
  <c r="M34" i="29"/>
  <c r="M32" i="29"/>
  <c r="M31" i="29"/>
  <c r="M30" i="29"/>
  <c r="M28" i="29"/>
  <c r="M27" i="29"/>
  <c r="M26" i="29"/>
  <c r="M25" i="29"/>
  <c r="M23" i="29"/>
  <c r="M22" i="29"/>
  <c r="M21" i="29"/>
  <c r="M14" i="29"/>
  <c r="M9" i="29"/>
  <c r="M6" i="29"/>
  <c r="C51" i="5" l="1"/>
  <c r="D51" i="5"/>
  <c r="E51" i="5"/>
  <c r="F51" i="5"/>
  <c r="L51" i="5"/>
  <c r="M51" i="5"/>
  <c r="N51" i="5"/>
  <c r="O51" i="5"/>
  <c r="P51" i="5"/>
  <c r="AX42" i="5"/>
  <c r="AL19" i="5"/>
  <c r="AL6" i="5"/>
  <c r="AL44" i="5"/>
  <c r="AL32" i="5" l="1"/>
  <c r="AL31" i="5"/>
  <c r="AW48" i="5"/>
  <c r="AW46" i="5"/>
  <c r="AW45" i="5"/>
  <c r="AW44" i="5"/>
  <c r="AW43" i="5"/>
  <c r="AW42" i="5"/>
  <c r="AW41" i="5"/>
  <c r="AW40" i="5"/>
  <c r="AW39" i="5"/>
  <c r="AW38" i="5"/>
  <c r="AW37" i="5"/>
  <c r="AW36" i="5"/>
  <c r="AW35" i="5"/>
  <c r="AW34" i="5"/>
  <c r="AW32" i="5"/>
  <c r="AW31" i="5"/>
  <c r="AW28" i="5"/>
  <c r="AW29" i="5"/>
  <c r="AW27" i="5"/>
  <c r="AW25" i="5"/>
  <c r="AW24" i="5"/>
  <c r="AW21" i="5"/>
  <c r="AW17" i="5"/>
  <c r="AW11" i="5"/>
  <c r="AW8" i="5"/>
  <c r="AX12" i="5" l="1"/>
  <c r="AL50" i="5"/>
  <c r="AX50" i="5" s="1"/>
  <c r="AL14" i="5"/>
  <c r="Q49" i="29"/>
  <c r="R49" i="29" s="1"/>
  <c r="N49" i="29"/>
  <c r="O49" i="29" s="1"/>
  <c r="J49" i="29"/>
  <c r="E49" i="17" s="1"/>
  <c r="H49" i="29"/>
  <c r="P47" i="29"/>
  <c r="G47" i="29"/>
  <c r="F47" i="29"/>
  <c r="E47" i="29"/>
  <c r="D47" i="29"/>
  <c r="Q46" i="29"/>
  <c r="N46" i="29"/>
  <c r="O46" i="29" s="1"/>
  <c r="J46" i="29"/>
  <c r="E46" i="17" s="1"/>
  <c r="H46" i="29"/>
  <c r="Q45" i="29"/>
  <c r="N45" i="29"/>
  <c r="J45" i="29"/>
  <c r="E45" i="17" s="1"/>
  <c r="Q44" i="29"/>
  <c r="N44" i="29"/>
  <c r="J44" i="29"/>
  <c r="E44" i="17" s="1"/>
  <c r="Q43" i="29"/>
  <c r="N43" i="29"/>
  <c r="J43" i="29"/>
  <c r="E43" i="17" s="1"/>
  <c r="Q42" i="29"/>
  <c r="N42" i="29"/>
  <c r="J42" i="29"/>
  <c r="E42" i="17" s="1"/>
  <c r="Q41" i="29"/>
  <c r="N41" i="29"/>
  <c r="O41" i="29" s="1"/>
  <c r="J41" i="29"/>
  <c r="E41" i="17" s="1"/>
  <c r="H41" i="29"/>
  <c r="Q40" i="29"/>
  <c r="N40" i="29"/>
  <c r="J40" i="29"/>
  <c r="E40" i="17" s="1"/>
  <c r="Q39" i="29"/>
  <c r="R39" i="29" s="1"/>
  <c r="N39" i="29"/>
  <c r="J39" i="29"/>
  <c r="E39" i="17" s="1"/>
  <c r="Q38" i="29"/>
  <c r="N38" i="29"/>
  <c r="J38" i="29"/>
  <c r="E38" i="17" s="1"/>
  <c r="Q37" i="29"/>
  <c r="N37" i="29"/>
  <c r="J37" i="29"/>
  <c r="E37" i="17" s="1"/>
  <c r="Q36" i="29"/>
  <c r="R36" i="29" s="1"/>
  <c r="N36" i="29"/>
  <c r="J36" i="29"/>
  <c r="E36" i="17" s="1"/>
  <c r="Q35" i="29"/>
  <c r="N35" i="29"/>
  <c r="J35" i="29"/>
  <c r="E35" i="17" s="1"/>
  <c r="Q34" i="29"/>
  <c r="N34" i="29"/>
  <c r="J34" i="29"/>
  <c r="E34" i="17" s="1"/>
  <c r="P32" i="29"/>
  <c r="G32" i="29"/>
  <c r="F32" i="29"/>
  <c r="E32" i="29"/>
  <c r="D32" i="29"/>
  <c r="Q31" i="29"/>
  <c r="N31" i="29"/>
  <c r="J31" i="29"/>
  <c r="Q30" i="29"/>
  <c r="R30" i="29" s="1"/>
  <c r="N30" i="29"/>
  <c r="J30" i="29"/>
  <c r="E30" i="17" s="1"/>
  <c r="P28" i="29"/>
  <c r="G28" i="29"/>
  <c r="F28" i="29"/>
  <c r="E28" i="29"/>
  <c r="D28" i="29"/>
  <c r="Q27" i="29"/>
  <c r="N27" i="29"/>
  <c r="O27" i="29" s="1"/>
  <c r="J27" i="29"/>
  <c r="E27" i="17" s="1"/>
  <c r="H27" i="29"/>
  <c r="Q26" i="29"/>
  <c r="N26" i="29"/>
  <c r="J26" i="29"/>
  <c r="E26" i="17" s="1"/>
  <c r="Q25" i="29"/>
  <c r="N25" i="29"/>
  <c r="J25" i="29"/>
  <c r="E25" i="17" s="1"/>
  <c r="H25" i="29"/>
  <c r="P23" i="29"/>
  <c r="G23" i="29"/>
  <c r="F23" i="29"/>
  <c r="E23" i="29"/>
  <c r="D23" i="29"/>
  <c r="Q22" i="29"/>
  <c r="N22" i="29"/>
  <c r="O22" i="29" s="1"/>
  <c r="J22" i="29"/>
  <c r="E22" i="17" s="1"/>
  <c r="H22" i="29"/>
  <c r="Q21" i="29"/>
  <c r="R21" i="29" s="1"/>
  <c r="N21" i="29"/>
  <c r="O21" i="29" s="1"/>
  <c r="J21" i="29"/>
  <c r="E21" i="17" s="1"/>
  <c r="H21" i="29"/>
  <c r="P19" i="29"/>
  <c r="M19" i="29"/>
  <c r="H19" i="29"/>
  <c r="G19" i="29"/>
  <c r="F19" i="29"/>
  <c r="E19" i="29"/>
  <c r="D19" i="29"/>
  <c r="AW22" i="5" s="1"/>
  <c r="AW51" i="5" s="1"/>
  <c r="E15" i="10" s="1"/>
  <c r="Q18" i="29"/>
  <c r="N18" i="29"/>
  <c r="J18" i="29"/>
  <c r="Q17" i="29"/>
  <c r="N17" i="29"/>
  <c r="J17" i="29"/>
  <c r="E17" i="17" s="1"/>
  <c r="P15" i="29"/>
  <c r="M15" i="29"/>
  <c r="G15" i="29"/>
  <c r="F15" i="29"/>
  <c r="E15" i="29"/>
  <c r="D15" i="29"/>
  <c r="Q14" i="29"/>
  <c r="R14" i="29" s="1"/>
  <c r="N14" i="29"/>
  <c r="J14" i="29"/>
  <c r="Q13" i="29"/>
  <c r="N13" i="29"/>
  <c r="P11" i="29"/>
  <c r="M11" i="29"/>
  <c r="G11" i="29"/>
  <c r="F11" i="29"/>
  <c r="E11" i="29"/>
  <c r="D11" i="29"/>
  <c r="Q10" i="29"/>
  <c r="N10" i="29"/>
  <c r="Q9" i="29"/>
  <c r="N9" i="29"/>
  <c r="J9" i="29"/>
  <c r="E9" i="17" s="1"/>
  <c r="Q8" i="29"/>
  <c r="N8" i="29"/>
  <c r="Q6" i="29"/>
  <c r="R6" i="29" s="1"/>
  <c r="N6" i="29"/>
  <c r="O6" i="29" s="1"/>
  <c r="J6" i="29"/>
  <c r="Q4" i="29"/>
  <c r="M4" i="29"/>
  <c r="N4" i="29" s="1"/>
  <c r="M3" i="29"/>
  <c r="D28" i="17"/>
  <c r="E6" i="17" l="1"/>
  <c r="N19" i="29"/>
  <c r="N47" i="29"/>
  <c r="O47" i="29" s="1"/>
  <c r="J23" i="29"/>
  <c r="E23" i="17" s="1"/>
  <c r="AW52" i="5"/>
  <c r="H15" i="10" s="1"/>
  <c r="K15" i="10" s="1"/>
  <c r="AW55" i="5"/>
  <c r="P50" i="29"/>
  <c r="J19" i="29"/>
  <c r="E19" i="17" s="1"/>
  <c r="E18" i="17"/>
  <c r="J15" i="29"/>
  <c r="E14" i="17"/>
  <c r="E50" i="29"/>
  <c r="B25" i="27" s="1"/>
  <c r="N32" i="29"/>
  <c r="J32" i="29"/>
  <c r="E32" i="17" s="1"/>
  <c r="E31" i="17"/>
  <c r="N28" i="29"/>
  <c r="O28" i="29" s="1"/>
  <c r="O25" i="29"/>
  <c r="F50" i="29"/>
  <c r="J28" i="29"/>
  <c r="E28" i="17" s="1"/>
  <c r="G50" i="29"/>
  <c r="N23" i="29"/>
  <c r="O23" i="29" s="1"/>
  <c r="J47" i="29"/>
  <c r="E47" i="17" s="1"/>
  <c r="S48" i="29"/>
  <c r="J11" i="29"/>
  <c r="D50" i="29"/>
  <c r="N11" i="29"/>
  <c r="Q11" i="29"/>
  <c r="N15" i="29"/>
  <c r="O15" i="29" s="1"/>
  <c r="B10" i="27"/>
  <c r="B11" i="27"/>
  <c r="B12" i="27"/>
  <c r="B13" i="27"/>
  <c r="B14" i="27"/>
  <c r="B15" i="27"/>
  <c r="B16" i="27"/>
  <c r="B17" i="27"/>
  <c r="B18" i="27"/>
  <c r="B19" i="27"/>
  <c r="B20" i="27"/>
  <c r="B21" i="27"/>
  <c r="B22" i="27"/>
  <c r="B23" i="27"/>
  <c r="J53" i="29" l="1"/>
  <c r="J50" i="29"/>
  <c r="H50" i="29"/>
  <c r="P53" i="29"/>
  <c r="Q53" i="29" s="1"/>
  <c r="G53" i="29"/>
  <c r="G54" i="29" s="1"/>
  <c r="N50" i="29"/>
  <c r="O50" i="29" s="1"/>
  <c r="Q50" i="29"/>
  <c r="Q48" i="10"/>
  <c r="J54" i="29" l="1"/>
  <c r="G55" i="17"/>
  <c r="P35" i="10"/>
  <c r="K33" i="10"/>
  <c r="K30" i="10"/>
  <c r="K29" i="10"/>
  <c r="K32" i="10" l="1"/>
  <c r="H31" i="10"/>
  <c r="K31" i="10" s="1"/>
  <c r="AX19" i="5"/>
  <c r="AX14" i="5"/>
  <c r="AX10" i="5"/>
  <c r="AX6" i="5"/>
  <c r="AV8" i="5" l="1"/>
  <c r="AV11" i="5"/>
  <c r="AV17" i="5"/>
  <c r="AV21" i="5"/>
  <c r="AV22" i="5"/>
  <c r="AV24" i="5"/>
  <c r="AV25" i="5"/>
  <c r="AV27" i="5"/>
  <c r="AV28" i="5"/>
  <c r="AV29" i="5"/>
  <c r="AV31" i="5"/>
  <c r="AV32" i="5"/>
  <c r="AV34" i="5"/>
  <c r="AV35" i="5"/>
  <c r="AV36" i="5"/>
  <c r="AV37" i="5"/>
  <c r="AV38" i="5"/>
  <c r="AV39" i="5"/>
  <c r="AV40" i="5"/>
  <c r="AV41" i="5"/>
  <c r="AV43" i="5"/>
  <c r="AV44" i="5"/>
  <c r="AV45" i="5"/>
  <c r="AV46" i="5"/>
  <c r="AV48" i="5"/>
  <c r="AV51" i="5" l="1"/>
  <c r="AW57" i="5" l="1"/>
  <c r="AW58" i="5" s="1"/>
  <c r="E14" i="10"/>
  <c r="AV55" i="5"/>
  <c r="AV52" i="5"/>
  <c r="H14" i="10" s="1"/>
  <c r="U22" i="26"/>
  <c r="Q49" i="26"/>
  <c r="R49" i="26" s="1"/>
  <c r="N49" i="26"/>
  <c r="O49" i="26" s="1"/>
  <c r="J49" i="26"/>
  <c r="H49" i="26"/>
  <c r="P47" i="26"/>
  <c r="M47" i="26"/>
  <c r="G47" i="26"/>
  <c r="F47" i="26"/>
  <c r="E47" i="26"/>
  <c r="D47" i="26"/>
  <c r="Q46" i="26"/>
  <c r="N46" i="26"/>
  <c r="O46" i="26" s="1"/>
  <c r="J46" i="26"/>
  <c r="H46" i="26"/>
  <c r="Q45" i="26"/>
  <c r="N45" i="26"/>
  <c r="J45" i="26"/>
  <c r="Q44" i="26"/>
  <c r="N44" i="26"/>
  <c r="J44" i="26"/>
  <c r="Q43" i="26"/>
  <c r="N43" i="26"/>
  <c r="J43" i="26"/>
  <c r="Q42" i="26"/>
  <c r="N42" i="26"/>
  <c r="J42" i="26"/>
  <c r="Q41" i="26"/>
  <c r="N41" i="26"/>
  <c r="O41" i="26" s="1"/>
  <c r="J41" i="26"/>
  <c r="H41" i="26"/>
  <c r="Q40" i="26"/>
  <c r="N40" i="26"/>
  <c r="J40" i="26"/>
  <c r="Q39" i="26"/>
  <c r="R39" i="26" s="1"/>
  <c r="N39" i="26"/>
  <c r="J39" i="26"/>
  <c r="Q38" i="26"/>
  <c r="N38" i="26"/>
  <c r="J38" i="26"/>
  <c r="Q37" i="26"/>
  <c r="N37" i="26"/>
  <c r="J37" i="26"/>
  <c r="Q36" i="26"/>
  <c r="R36" i="26" s="1"/>
  <c r="R47" i="26" s="1"/>
  <c r="N36" i="26"/>
  <c r="J36" i="26"/>
  <c r="Q35" i="26"/>
  <c r="N35" i="26"/>
  <c r="J35" i="26"/>
  <c r="Q34" i="26"/>
  <c r="N34" i="26"/>
  <c r="J34" i="26"/>
  <c r="P32" i="26"/>
  <c r="M32" i="26"/>
  <c r="G32" i="26"/>
  <c r="F32" i="26"/>
  <c r="E32" i="26"/>
  <c r="D32" i="26"/>
  <c r="Q31" i="26"/>
  <c r="N31" i="26"/>
  <c r="J31" i="26"/>
  <c r="Q30" i="26"/>
  <c r="R30" i="26" s="1"/>
  <c r="N30" i="26"/>
  <c r="J30" i="26"/>
  <c r="P28" i="26"/>
  <c r="M28" i="26"/>
  <c r="G28" i="26"/>
  <c r="F28" i="26"/>
  <c r="E28" i="26"/>
  <c r="D28" i="26"/>
  <c r="Q27" i="26"/>
  <c r="N27" i="26"/>
  <c r="O27" i="26" s="1"/>
  <c r="J27" i="26"/>
  <c r="H27" i="26"/>
  <c r="Q26" i="26"/>
  <c r="N26" i="26"/>
  <c r="J26" i="26"/>
  <c r="Q25" i="26"/>
  <c r="N25" i="26"/>
  <c r="J25" i="26"/>
  <c r="H25" i="26"/>
  <c r="P23" i="26"/>
  <c r="M23" i="26"/>
  <c r="G23" i="26"/>
  <c r="F23" i="26"/>
  <c r="E23" i="26"/>
  <c r="D23" i="26"/>
  <c r="Q22" i="26"/>
  <c r="N22" i="26"/>
  <c r="O22" i="26" s="1"/>
  <c r="J22" i="26"/>
  <c r="H22" i="26"/>
  <c r="Q21" i="26"/>
  <c r="R21" i="26" s="1"/>
  <c r="N21" i="26"/>
  <c r="O21" i="26" s="1"/>
  <c r="J21" i="26"/>
  <c r="H21" i="26"/>
  <c r="P19" i="26"/>
  <c r="M19" i="26"/>
  <c r="H19" i="26"/>
  <c r="G19" i="26"/>
  <c r="F19" i="26"/>
  <c r="E19" i="26"/>
  <c r="D19" i="26"/>
  <c r="Q18" i="26"/>
  <c r="N18" i="26"/>
  <c r="J18" i="26"/>
  <c r="Q17" i="26"/>
  <c r="N17" i="26"/>
  <c r="J17" i="26"/>
  <c r="P15" i="26"/>
  <c r="M15" i="26"/>
  <c r="G15" i="26"/>
  <c r="F15" i="26"/>
  <c r="E15" i="26"/>
  <c r="D15" i="26"/>
  <c r="Q14" i="26"/>
  <c r="R14" i="26" s="1"/>
  <c r="N14" i="26"/>
  <c r="J14" i="26"/>
  <c r="H14" i="26"/>
  <c r="Q13" i="26"/>
  <c r="N13" i="26"/>
  <c r="P11" i="26"/>
  <c r="M11" i="26"/>
  <c r="G11" i="26"/>
  <c r="F11" i="26"/>
  <c r="E11" i="26"/>
  <c r="E50" i="26" s="1"/>
  <c r="D11" i="26"/>
  <c r="Q10" i="26"/>
  <c r="N10" i="26"/>
  <c r="J10" i="26"/>
  <c r="Q9" i="26"/>
  <c r="N9" i="26"/>
  <c r="J9" i="26"/>
  <c r="Q8" i="26"/>
  <c r="N8" i="26"/>
  <c r="Q6" i="26"/>
  <c r="R6" i="26" s="1"/>
  <c r="N6" i="26"/>
  <c r="O6" i="26" s="1"/>
  <c r="J6" i="26"/>
  <c r="H6" i="26"/>
  <c r="Q4" i="26"/>
  <c r="M4" i="26"/>
  <c r="N4" i="26" s="1"/>
  <c r="M3" i="26"/>
  <c r="N32" i="26" l="1"/>
  <c r="K14" i="10"/>
  <c r="J28" i="26"/>
  <c r="N19" i="26"/>
  <c r="S48" i="26"/>
  <c r="J32" i="26"/>
  <c r="J19" i="26"/>
  <c r="G50" i="26"/>
  <c r="J23" i="26"/>
  <c r="N15" i="26"/>
  <c r="O15" i="26" s="1"/>
  <c r="Q11" i="26"/>
  <c r="N11" i="26"/>
  <c r="J15" i="26"/>
  <c r="D50" i="26"/>
  <c r="J11" i="26"/>
  <c r="J47" i="26"/>
  <c r="F50" i="26"/>
  <c r="M50" i="26"/>
  <c r="P50" i="26"/>
  <c r="N47" i="26"/>
  <c r="O47" i="26" s="1"/>
  <c r="N28" i="26"/>
  <c r="O28" i="26" s="1"/>
  <c r="O14" i="26"/>
  <c r="N23" i="26"/>
  <c r="O23" i="26" s="1"/>
  <c r="O25" i="26"/>
  <c r="P30" i="10"/>
  <c r="P31" i="10"/>
  <c r="K28" i="10" l="1"/>
  <c r="H27" i="10"/>
  <c r="K27" i="10" s="1"/>
  <c r="H26" i="10"/>
  <c r="K26" i="10" s="1"/>
  <c r="J53" i="26"/>
  <c r="B24" i="27"/>
  <c r="J50" i="26"/>
  <c r="G53" i="26"/>
  <c r="G54" i="26" s="1"/>
  <c r="P53" i="26"/>
  <c r="Q53" i="26" s="1"/>
  <c r="H50" i="26"/>
  <c r="Q50" i="26"/>
  <c r="N50" i="26"/>
  <c r="O50" i="26" s="1"/>
  <c r="J54" i="26" l="1"/>
  <c r="AB35" i="10" l="1"/>
  <c r="AU48" i="5" l="1"/>
  <c r="AU46" i="5"/>
  <c r="AU45" i="5"/>
  <c r="AU44" i="5"/>
  <c r="AU43" i="5"/>
  <c r="AU41" i="5"/>
  <c r="AU40" i="5"/>
  <c r="AU39" i="5"/>
  <c r="AU38" i="5"/>
  <c r="AU37" i="5"/>
  <c r="AU36" i="5"/>
  <c r="AU35" i="5"/>
  <c r="AU34" i="5"/>
  <c r="AU32" i="5"/>
  <c r="AU31" i="5"/>
  <c r="AU27" i="5"/>
  <c r="AU28" i="5"/>
  <c r="AU29" i="5"/>
  <c r="AU25" i="5"/>
  <c r="AU24" i="5"/>
  <c r="AU22" i="5"/>
  <c r="AU21" i="5"/>
  <c r="AU17" i="5"/>
  <c r="AU11" i="5"/>
  <c r="AU8" i="5"/>
  <c r="AT43" i="5"/>
  <c r="AS43" i="5"/>
  <c r="AR43" i="5"/>
  <c r="AQ43" i="5"/>
  <c r="AP43" i="5"/>
  <c r="AT38" i="5"/>
  <c r="AT37" i="5"/>
  <c r="AS38" i="5"/>
  <c r="AS37" i="5"/>
  <c r="AR38" i="5"/>
  <c r="AR37" i="5"/>
  <c r="AQ38" i="5"/>
  <c r="AP38" i="5"/>
  <c r="AO38" i="5"/>
  <c r="AH4" i="5"/>
  <c r="AU51" i="5" l="1"/>
  <c r="AV57" i="5" l="1"/>
  <c r="AV58" i="5" s="1"/>
  <c r="E13" i="10"/>
  <c r="AU55" i="5"/>
  <c r="AU52" i="5"/>
  <c r="H13" i="10" s="1"/>
  <c r="M47" i="25"/>
  <c r="M32" i="25"/>
  <c r="M28" i="25"/>
  <c r="M23" i="25"/>
  <c r="M19" i="25"/>
  <c r="M15" i="25"/>
  <c r="M11" i="25"/>
  <c r="Q49" i="25"/>
  <c r="N49" i="25"/>
  <c r="O49" i="25" s="1"/>
  <c r="J49" i="25"/>
  <c r="H49" i="25"/>
  <c r="P47" i="25"/>
  <c r="G47" i="25"/>
  <c r="F47" i="25"/>
  <c r="E47" i="25"/>
  <c r="D47" i="25"/>
  <c r="Q46" i="25"/>
  <c r="N46" i="25"/>
  <c r="O46" i="25" s="1"/>
  <c r="J46" i="25"/>
  <c r="H46" i="25"/>
  <c r="Q45" i="25"/>
  <c r="N45" i="25"/>
  <c r="J45" i="25"/>
  <c r="Q44" i="25"/>
  <c r="N44" i="25"/>
  <c r="J44" i="25"/>
  <c r="Q43" i="25"/>
  <c r="N43" i="25"/>
  <c r="J43" i="25"/>
  <c r="Q42" i="25"/>
  <c r="N42" i="25"/>
  <c r="J42" i="25"/>
  <c r="Q41" i="25"/>
  <c r="N41" i="25"/>
  <c r="O41" i="25" s="1"/>
  <c r="J41" i="25"/>
  <c r="H41" i="25"/>
  <c r="Q40" i="25"/>
  <c r="N40" i="25"/>
  <c r="J40" i="25"/>
  <c r="Q39" i="25"/>
  <c r="R39" i="25" s="1"/>
  <c r="N39" i="25"/>
  <c r="J39" i="25"/>
  <c r="Q38" i="25"/>
  <c r="N38" i="25"/>
  <c r="J38" i="25"/>
  <c r="Q37" i="25"/>
  <c r="N37" i="25"/>
  <c r="J37" i="25"/>
  <c r="Q36" i="25"/>
  <c r="R36" i="25" s="1"/>
  <c r="N36" i="25"/>
  <c r="J36" i="25"/>
  <c r="Q35" i="25"/>
  <c r="N35" i="25"/>
  <c r="J35" i="25"/>
  <c r="H35" i="25"/>
  <c r="Q34" i="25"/>
  <c r="N34" i="25"/>
  <c r="J34" i="25"/>
  <c r="P32" i="25"/>
  <c r="G32" i="25"/>
  <c r="F32" i="25"/>
  <c r="E32" i="25"/>
  <c r="D32" i="25"/>
  <c r="N32" i="25" s="1"/>
  <c r="Q31" i="25"/>
  <c r="N31" i="25"/>
  <c r="J31" i="25"/>
  <c r="Q30" i="25"/>
  <c r="N30" i="25"/>
  <c r="J30" i="25"/>
  <c r="P28" i="25"/>
  <c r="G28" i="25"/>
  <c r="F28" i="25"/>
  <c r="E28" i="25"/>
  <c r="D28" i="25"/>
  <c r="Q27" i="25"/>
  <c r="N27" i="25"/>
  <c r="O27" i="25" s="1"/>
  <c r="J27" i="25"/>
  <c r="H27" i="25"/>
  <c r="Q26" i="25"/>
  <c r="N26" i="25"/>
  <c r="J26" i="25"/>
  <c r="Q25" i="25"/>
  <c r="N25" i="25"/>
  <c r="O25" i="25" s="1"/>
  <c r="J25" i="25"/>
  <c r="H25" i="25"/>
  <c r="P23" i="25"/>
  <c r="G23" i="25"/>
  <c r="F23" i="25"/>
  <c r="E23" i="25"/>
  <c r="D23" i="25"/>
  <c r="V22" i="25"/>
  <c r="V28" i="25" s="1" a="1"/>
  <c r="V28" i="25" s="1"/>
  <c r="Q22" i="25"/>
  <c r="N22" i="25"/>
  <c r="O22" i="25" s="1"/>
  <c r="J22" i="25"/>
  <c r="H22" i="25"/>
  <c r="Q21" i="25"/>
  <c r="N21" i="25"/>
  <c r="J21" i="25"/>
  <c r="H21" i="25"/>
  <c r="P19" i="25"/>
  <c r="H19" i="25"/>
  <c r="G19" i="25"/>
  <c r="F19" i="25"/>
  <c r="E19" i="25"/>
  <c r="D19" i="25"/>
  <c r="Q18" i="25"/>
  <c r="N18" i="25"/>
  <c r="J18" i="25"/>
  <c r="Q17" i="25"/>
  <c r="N17" i="25"/>
  <c r="J17" i="25"/>
  <c r="P15" i="25"/>
  <c r="G15" i="25"/>
  <c r="F15" i="25"/>
  <c r="E15" i="25"/>
  <c r="D15" i="25"/>
  <c r="Q14" i="25"/>
  <c r="N14" i="25"/>
  <c r="O14" i="25" s="1"/>
  <c r="J14" i="25"/>
  <c r="H14" i="25"/>
  <c r="H15" i="25" s="1"/>
  <c r="Q13" i="25"/>
  <c r="N13" i="25"/>
  <c r="J13" i="25"/>
  <c r="P11" i="25"/>
  <c r="H11" i="25"/>
  <c r="G11" i="25"/>
  <c r="F11" i="25"/>
  <c r="E11" i="25"/>
  <c r="D11" i="25"/>
  <c r="Q10" i="25"/>
  <c r="N10" i="25"/>
  <c r="J10" i="25"/>
  <c r="Q9" i="25"/>
  <c r="N9" i="25"/>
  <c r="J9" i="25"/>
  <c r="Q8" i="25"/>
  <c r="N8" i="25"/>
  <c r="Q6" i="25"/>
  <c r="N6" i="25"/>
  <c r="O6" i="25" s="1"/>
  <c r="J6" i="25"/>
  <c r="H6" i="25"/>
  <c r="Q4" i="25"/>
  <c r="M4" i="25"/>
  <c r="N4" i="25" s="1"/>
  <c r="M3" i="25"/>
  <c r="K13" i="10" l="1"/>
  <c r="N19" i="25"/>
  <c r="N47" i="25"/>
  <c r="O47" i="25" s="1"/>
  <c r="H23" i="25"/>
  <c r="M50" i="25"/>
  <c r="J23" i="25"/>
  <c r="J32" i="25"/>
  <c r="J11" i="25"/>
  <c r="J15" i="25"/>
  <c r="J19" i="25"/>
  <c r="J28" i="25"/>
  <c r="P50" i="25"/>
  <c r="Q11" i="25"/>
  <c r="R47" i="25"/>
  <c r="R49" i="25" s="1"/>
  <c r="S48" i="25"/>
  <c r="J47" i="25"/>
  <c r="D50" i="25"/>
  <c r="E50" i="25"/>
  <c r="J53" i="25" s="1"/>
  <c r="G50" i="25"/>
  <c r="F50" i="25"/>
  <c r="N11" i="25"/>
  <c r="N15" i="25"/>
  <c r="O15" i="25" s="1"/>
  <c r="N28" i="25"/>
  <c r="O28" i="25" s="1"/>
  <c r="N23" i="25"/>
  <c r="O23" i="25" s="1"/>
  <c r="O21" i="25"/>
  <c r="J50" i="25" l="1"/>
  <c r="J54" i="25" s="1"/>
  <c r="N50" i="25"/>
  <c r="O50" i="25" s="1"/>
  <c r="G53" i="25"/>
  <c r="G54" i="25" s="1"/>
  <c r="P53" i="25"/>
  <c r="Q53" i="25" s="1"/>
  <c r="H50" i="25"/>
  <c r="Q50" i="25"/>
  <c r="R50" i="25" s="1"/>
  <c r="AO28" i="5"/>
  <c r="AP28" i="5"/>
  <c r="AN28" i="5"/>
  <c r="AM28" i="5"/>
  <c r="AK28" i="5"/>
  <c r="AJ28" i="5"/>
  <c r="AI28" i="5"/>
  <c r="AL28" i="5" s="1"/>
  <c r="AQ28" i="5"/>
  <c r="AR28" i="5"/>
  <c r="AS28" i="5"/>
  <c r="T16" i="23" l="1"/>
  <c r="T18" i="23" s="1"/>
  <c r="T20" i="23" s="1"/>
  <c r="T22" i="23" s="1"/>
  <c r="T24" i="23" s="1"/>
  <c r="D27" i="17" l="1"/>
  <c r="AT48" i="5" l="1"/>
  <c r="AT46" i="5"/>
  <c r="AT45" i="5"/>
  <c r="AT44" i="5"/>
  <c r="AT41" i="5"/>
  <c r="AT40" i="5"/>
  <c r="AT39" i="5"/>
  <c r="AT36" i="5"/>
  <c r="AT35" i="5"/>
  <c r="AT34" i="5"/>
  <c r="AT32" i="5"/>
  <c r="AT31" i="5"/>
  <c r="AT29" i="5"/>
  <c r="AX29" i="5" s="1"/>
  <c r="AT28" i="5"/>
  <c r="AX28" i="5" s="1"/>
  <c r="AT27" i="5"/>
  <c r="AT25" i="5"/>
  <c r="AT24" i="5"/>
  <c r="AT22" i="5"/>
  <c r="AT21" i="5"/>
  <c r="AT17" i="5"/>
  <c r="AT12" i="5"/>
  <c r="AT11" i="5"/>
  <c r="AT10" i="5"/>
  <c r="AT8" i="5"/>
  <c r="V32" i="24"/>
  <c r="V22" i="24"/>
  <c r="V24" i="24" s="1"/>
  <c r="V26" i="24" s="1"/>
  <c r="P11" i="24"/>
  <c r="P15" i="24"/>
  <c r="P19" i="24"/>
  <c r="P23" i="24"/>
  <c r="Q26" i="24"/>
  <c r="P47" i="24"/>
  <c r="P32" i="24"/>
  <c r="P28" i="24"/>
  <c r="Q6" i="24"/>
  <c r="Q8" i="24"/>
  <c r="Q9" i="24"/>
  <c r="Q10" i="24"/>
  <c r="Q13" i="24"/>
  <c r="Q14" i="24"/>
  <c r="Q17" i="24"/>
  <c r="Q18" i="24"/>
  <c r="Q21" i="24"/>
  <c r="Q22" i="24"/>
  <c r="Q25" i="24"/>
  <c r="Q27" i="24"/>
  <c r="Q30" i="24"/>
  <c r="Q31" i="24"/>
  <c r="Q34" i="24"/>
  <c r="Q35" i="24"/>
  <c r="Q36" i="24"/>
  <c r="Q37" i="24"/>
  <c r="Q38" i="24"/>
  <c r="Q39" i="24"/>
  <c r="Q40" i="24"/>
  <c r="Q41" i="24"/>
  <c r="Q42" i="24"/>
  <c r="Q43" i="24"/>
  <c r="Q44" i="24"/>
  <c r="Q45" i="24"/>
  <c r="Q46" i="24"/>
  <c r="Q49" i="24"/>
  <c r="M26" i="24"/>
  <c r="N26" i="24" s="1"/>
  <c r="O26" i="24" s="1"/>
  <c r="J26" i="24"/>
  <c r="H19" i="24"/>
  <c r="M49" i="24"/>
  <c r="M46" i="24"/>
  <c r="M45" i="24"/>
  <c r="M44" i="24"/>
  <c r="M43" i="24"/>
  <c r="M42" i="24"/>
  <c r="M41" i="24"/>
  <c r="M40" i="24"/>
  <c r="M39" i="24"/>
  <c r="M38" i="24"/>
  <c r="M37" i="24"/>
  <c r="M36" i="24"/>
  <c r="M35" i="24"/>
  <c r="M34" i="24"/>
  <c r="M25" i="24"/>
  <c r="M22" i="24"/>
  <c r="M21" i="24"/>
  <c r="M18" i="24"/>
  <c r="M17" i="24"/>
  <c r="M14" i="24"/>
  <c r="M6" i="24"/>
  <c r="AT51" i="5" l="1"/>
  <c r="E12" i="10" s="1"/>
  <c r="P50" i="24"/>
  <c r="H26" i="24"/>
  <c r="N49" i="24"/>
  <c r="O49" i="24" s="1"/>
  <c r="J49" i="24"/>
  <c r="H49" i="24"/>
  <c r="M48" i="24"/>
  <c r="G47" i="24"/>
  <c r="F47" i="24"/>
  <c r="E47" i="24"/>
  <c r="D47" i="24"/>
  <c r="N46" i="24"/>
  <c r="O46" i="24" s="1"/>
  <c r="J46" i="24"/>
  <c r="H46" i="24"/>
  <c r="N45" i="24"/>
  <c r="J45" i="24"/>
  <c r="N44" i="24"/>
  <c r="J44" i="24"/>
  <c r="N43" i="24"/>
  <c r="J43" i="24"/>
  <c r="N42" i="24"/>
  <c r="J42" i="24"/>
  <c r="N41" i="24"/>
  <c r="O41" i="24" s="1"/>
  <c r="J41" i="24"/>
  <c r="H41" i="24"/>
  <c r="N40" i="24"/>
  <c r="J40" i="24"/>
  <c r="R39" i="24"/>
  <c r="N39" i="24"/>
  <c r="J39" i="24"/>
  <c r="N38" i="24"/>
  <c r="J38" i="24"/>
  <c r="N37" i="24"/>
  <c r="J37" i="24"/>
  <c r="R36" i="24"/>
  <c r="R47" i="24" s="1"/>
  <c r="N36" i="24"/>
  <c r="J36" i="24"/>
  <c r="N35" i="24"/>
  <c r="O35" i="24" s="1"/>
  <c r="J35" i="24"/>
  <c r="H35" i="24"/>
  <c r="N34" i="24"/>
  <c r="J34" i="24"/>
  <c r="M33" i="24"/>
  <c r="G32" i="24"/>
  <c r="F32" i="24"/>
  <c r="E32" i="24"/>
  <c r="D32" i="24"/>
  <c r="M31" i="24"/>
  <c r="N31" i="24" s="1"/>
  <c r="J31" i="24"/>
  <c r="M30" i="24"/>
  <c r="N30" i="24" s="1"/>
  <c r="J30" i="24"/>
  <c r="M29" i="24"/>
  <c r="G28" i="24"/>
  <c r="F28" i="24"/>
  <c r="E28" i="24"/>
  <c r="D28" i="24"/>
  <c r="J27" i="24"/>
  <c r="G27" i="17" s="1"/>
  <c r="H27" i="24"/>
  <c r="N25" i="24"/>
  <c r="J25" i="24"/>
  <c r="H25" i="24"/>
  <c r="M24" i="24"/>
  <c r="G23" i="24"/>
  <c r="F23" i="24"/>
  <c r="E23" i="24"/>
  <c r="D23" i="24"/>
  <c r="N22" i="24"/>
  <c r="O22" i="24" s="1"/>
  <c r="J22" i="24"/>
  <c r="H22" i="24"/>
  <c r="N21" i="24"/>
  <c r="O21" i="24" s="1"/>
  <c r="J21" i="24"/>
  <c r="H21" i="24"/>
  <c r="M20" i="24"/>
  <c r="G19" i="24"/>
  <c r="F19" i="24"/>
  <c r="E19" i="24"/>
  <c r="D19" i="24"/>
  <c r="N18" i="24"/>
  <c r="J18" i="24"/>
  <c r="N17" i="24"/>
  <c r="J17" i="24"/>
  <c r="M16" i="24"/>
  <c r="G15" i="24"/>
  <c r="F15" i="24"/>
  <c r="E15" i="24"/>
  <c r="D15" i="24"/>
  <c r="N14" i="24"/>
  <c r="O14" i="24" s="1"/>
  <c r="J14" i="24"/>
  <c r="H14" i="24"/>
  <c r="H15" i="24" s="1"/>
  <c r="M13" i="24"/>
  <c r="N13" i="24" s="1"/>
  <c r="J13" i="24"/>
  <c r="M12" i="24"/>
  <c r="H11" i="24"/>
  <c r="G11" i="24"/>
  <c r="F11" i="24"/>
  <c r="E11" i="24"/>
  <c r="Q11" i="24" s="1"/>
  <c r="D11" i="24"/>
  <c r="M10" i="24"/>
  <c r="N10" i="24" s="1"/>
  <c r="J10" i="24"/>
  <c r="M9" i="24"/>
  <c r="N9" i="24" s="1"/>
  <c r="J9" i="24"/>
  <c r="M8" i="24"/>
  <c r="N8" i="24" s="1"/>
  <c r="J8" i="24"/>
  <c r="M7" i="24"/>
  <c r="N6" i="24"/>
  <c r="O6" i="24" s="1"/>
  <c r="J6" i="24"/>
  <c r="H6" i="24"/>
  <c r="M5" i="24"/>
  <c r="Q4" i="24"/>
  <c r="M4" i="24"/>
  <c r="N4" i="24" s="1"/>
  <c r="M3" i="24"/>
  <c r="AU57" i="5" l="1"/>
  <c r="AU58" i="5" s="1"/>
  <c r="AT52" i="5"/>
  <c r="H12" i="10" s="1"/>
  <c r="AT55" i="5"/>
  <c r="J11" i="24"/>
  <c r="H23" i="24"/>
  <c r="J15" i="24"/>
  <c r="J19" i="24"/>
  <c r="J32" i="24"/>
  <c r="J23" i="24"/>
  <c r="J28" i="24"/>
  <c r="D50" i="24"/>
  <c r="N15" i="24"/>
  <c r="J47" i="24"/>
  <c r="F50" i="24"/>
  <c r="E50" i="24"/>
  <c r="G50" i="24"/>
  <c r="O25" i="24"/>
  <c r="S48" i="24"/>
  <c r="N23" i="24"/>
  <c r="K12" i="10" l="1"/>
  <c r="J50" i="24"/>
  <c r="J53" i="24"/>
  <c r="Q50" i="24"/>
  <c r="R50" i="24" s="1"/>
  <c r="H50" i="24"/>
  <c r="AS48" i="5"/>
  <c r="AS46" i="5"/>
  <c r="AS35" i="5"/>
  <c r="AS36" i="5"/>
  <c r="AS39" i="5"/>
  <c r="AS40" i="5"/>
  <c r="AS41" i="5"/>
  <c r="AS44" i="5"/>
  <c r="AS45" i="5"/>
  <c r="AS34" i="5"/>
  <c r="AS32" i="5"/>
  <c r="AS31" i="5"/>
  <c r="AS27" i="5"/>
  <c r="AS25" i="5"/>
  <c r="AS24" i="5"/>
  <c r="AS22" i="5"/>
  <c r="AS21" i="5"/>
  <c r="AS17" i="5"/>
  <c r="AS12" i="5"/>
  <c r="AS11" i="5"/>
  <c r="AS10" i="5"/>
  <c r="AS8" i="5"/>
  <c r="M48" i="23"/>
  <c r="M47" i="23"/>
  <c r="M45" i="23"/>
  <c r="M44" i="23"/>
  <c r="M43" i="23"/>
  <c r="N43" i="23" s="1"/>
  <c r="O43" i="23" s="1"/>
  <c r="M42" i="23"/>
  <c r="N42" i="23" s="1"/>
  <c r="M41" i="23"/>
  <c r="N41" i="23" s="1"/>
  <c r="M40" i="23"/>
  <c r="N40" i="23" s="1"/>
  <c r="O40" i="23" s="1"/>
  <c r="M39" i="23"/>
  <c r="N39" i="23" s="1"/>
  <c r="M38" i="23"/>
  <c r="N38" i="23" s="1"/>
  <c r="O38" i="23" s="1"/>
  <c r="M37" i="23"/>
  <c r="N37" i="23" s="1"/>
  <c r="M36" i="23"/>
  <c r="N36" i="23" s="1"/>
  <c r="M35" i="23"/>
  <c r="N35" i="23" s="1"/>
  <c r="O35" i="23" s="1"/>
  <c r="M34" i="23"/>
  <c r="M33" i="23"/>
  <c r="N33" i="23" s="1"/>
  <c r="M32" i="23"/>
  <c r="M30" i="23"/>
  <c r="M29" i="23"/>
  <c r="M28" i="23"/>
  <c r="M26" i="23"/>
  <c r="N26" i="23" s="1"/>
  <c r="O26" i="23" s="1"/>
  <c r="M25" i="23"/>
  <c r="M24" i="23"/>
  <c r="M22" i="23"/>
  <c r="N22" i="23" s="1"/>
  <c r="O22" i="23" s="1"/>
  <c r="M21" i="23"/>
  <c r="N21" i="23" s="1"/>
  <c r="M20" i="23"/>
  <c r="M18" i="23"/>
  <c r="N18" i="23" s="1"/>
  <c r="O18" i="23" s="1"/>
  <c r="M17" i="23"/>
  <c r="M16" i="23"/>
  <c r="M14" i="23"/>
  <c r="M6" i="23"/>
  <c r="N6" i="23" s="1"/>
  <c r="O6" i="23" s="1"/>
  <c r="J45" i="23"/>
  <c r="J44" i="23"/>
  <c r="J43" i="23"/>
  <c r="J42" i="23"/>
  <c r="J41" i="23"/>
  <c r="J40" i="23"/>
  <c r="J39" i="23"/>
  <c r="J38" i="23"/>
  <c r="J37" i="23"/>
  <c r="J36" i="23"/>
  <c r="J35" i="23"/>
  <c r="J34" i="23"/>
  <c r="J33" i="23"/>
  <c r="J48" i="23"/>
  <c r="J30" i="23"/>
  <c r="J29" i="23"/>
  <c r="J26" i="23"/>
  <c r="J25" i="23"/>
  <c r="J22" i="23"/>
  <c r="J21" i="23"/>
  <c r="J23" i="23" s="1"/>
  <c r="J18" i="23"/>
  <c r="J17" i="23"/>
  <c r="J14" i="23"/>
  <c r="J13" i="23"/>
  <c r="J10" i="23"/>
  <c r="J9" i="23"/>
  <c r="J8" i="23"/>
  <c r="J6" i="23"/>
  <c r="J4" i="23"/>
  <c r="Q48" i="23"/>
  <c r="N48" i="23"/>
  <c r="O48" i="23" s="1"/>
  <c r="H48" i="23"/>
  <c r="P46" i="23"/>
  <c r="G46" i="23"/>
  <c r="F46" i="23"/>
  <c r="E46" i="23"/>
  <c r="D46" i="23"/>
  <c r="M47" i="24" s="1"/>
  <c r="N47" i="24" s="1"/>
  <c r="O47" i="24" s="1"/>
  <c r="Q45" i="23"/>
  <c r="N45" i="23"/>
  <c r="O45" i="23" s="1"/>
  <c r="H45" i="23"/>
  <c r="Q44" i="23"/>
  <c r="N44" i="23"/>
  <c r="O44" i="23" s="1"/>
  <c r="Q43" i="23"/>
  <c r="H43" i="23"/>
  <c r="Q42" i="23"/>
  <c r="Q41" i="23"/>
  <c r="Q40" i="23"/>
  <c r="R40" i="23" s="1"/>
  <c r="H40" i="23"/>
  <c r="Q39" i="23"/>
  <c r="Q38" i="23"/>
  <c r="R38" i="23" s="1"/>
  <c r="H38" i="23"/>
  <c r="Q37" i="23"/>
  <c r="Q36" i="23"/>
  <c r="Q35" i="23"/>
  <c r="R35" i="23" s="1"/>
  <c r="Q34" i="23"/>
  <c r="N34" i="23"/>
  <c r="O34" i="23" s="1"/>
  <c r="H34" i="23"/>
  <c r="Q33" i="23"/>
  <c r="P31" i="23"/>
  <c r="G31" i="23"/>
  <c r="F31" i="23"/>
  <c r="E31" i="23"/>
  <c r="D31" i="23"/>
  <c r="Q30" i="23"/>
  <c r="N30" i="23"/>
  <c r="Q29" i="23"/>
  <c r="N29" i="23"/>
  <c r="P27" i="23"/>
  <c r="G27" i="23"/>
  <c r="F27" i="23"/>
  <c r="E27" i="23"/>
  <c r="D27" i="23"/>
  <c r="Q26" i="23"/>
  <c r="H26" i="23"/>
  <c r="Q25" i="23"/>
  <c r="N25" i="23"/>
  <c r="H25" i="23"/>
  <c r="P23" i="23"/>
  <c r="G23" i="23"/>
  <c r="F23" i="23"/>
  <c r="E23" i="23"/>
  <c r="D23" i="23"/>
  <c r="M23" i="24" s="1"/>
  <c r="O23" i="24" s="1"/>
  <c r="Q22" i="23"/>
  <c r="H22" i="23"/>
  <c r="Q21" i="23"/>
  <c r="H21" i="23"/>
  <c r="P19" i="23"/>
  <c r="G19" i="23"/>
  <c r="F19" i="23"/>
  <c r="E19" i="23"/>
  <c r="D19" i="23"/>
  <c r="M19" i="24" s="1"/>
  <c r="N19" i="24" s="1"/>
  <c r="Q18" i="23"/>
  <c r="Q17" i="23"/>
  <c r="N17" i="23"/>
  <c r="O17" i="23" s="1"/>
  <c r="P15" i="23"/>
  <c r="G15" i="23"/>
  <c r="F15" i="23"/>
  <c r="E15" i="23"/>
  <c r="D15" i="23"/>
  <c r="M15" i="24" s="1"/>
  <c r="O15" i="24" s="1"/>
  <c r="Q14" i="23"/>
  <c r="N14" i="23"/>
  <c r="O14" i="23" s="1"/>
  <c r="H14" i="23"/>
  <c r="H15" i="23" s="1"/>
  <c r="Q13" i="23"/>
  <c r="M13" i="23"/>
  <c r="N13" i="23" s="1"/>
  <c r="M12" i="23"/>
  <c r="P11" i="23"/>
  <c r="H11" i="23"/>
  <c r="G11" i="23"/>
  <c r="F11" i="23"/>
  <c r="E11" i="23"/>
  <c r="D11" i="23"/>
  <c r="Q10" i="23"/>
  <c r="M10" i="23"/>
  <c r="N10" i="23" s="1"/>
  <c r="Q9" i="23"/>
  <c r="N9" i="23"/>
  <c r="M9" i="23"/>
  <c r="Q8" i="23"/>
  <c r="M8" i="23"/>
  <c r="N8" i="23" s="1"/>
  <c r="M7" i="23"/>
  <c r="Q6" i="23"/>
  <c r="H6" i="23"/>
  <c r="M5" i="23"/>
  <c r="Q4" i="23"/>
  <c r="M4" i="23"/>
  <c r="N4" i="23" s="1"/>
  <c r="M3" i="23"/>
  <c r="P49" i="23" l="1"/>
  <c r="J27" i="23"/>
  <c r="J54" i="24"/>
  <c r="M28" i="24"/>
  <c r="N27" i="24"/>
  <c r="AS51" i="5"/>
  <c r="E11" i="10" s="1"/>
  <c r="J15" i="23"/>
  <c r="J31" i="23"/>
  <c r="N15" i="23"/>
  <c r="G49" i="23"/>
  <c r="F49" i="23"/>
  <c r="R46" i="23"/>
  <c r="J46" i="23"/>
  <c r="J19" i="23"/>
  <c r="J11" i="23"/>
  <c r="E49" i="23"/>
  <c r="J52" i="23" s="1"/>
  <c r="S47" i="23"/>
  <c r="N23" i="23"/>
  <c r="D49" i="23"/>
  <c r="M50" i="24" s="1"/>
  <c r="N50" i="24" s="1"/>
  <c r="O50" i="24" s="1"/>
  <c r="N27" i="23"/>
  <c r="O25" i="23"/>
  <c r="O21" i="23"/>
  <c r="G53" i="24" l="1"/>
  <c r="G54" i="24" s="1"/>
  <c r="P53" i="24"/>
  <c r="Q53" i="24" s="1"/>
  <c r="AS55" i="5"/>
  <c r="AT57" i="5"/>
  <c r="AT58" i="5" s="1"/>
  <c r="N28" i="24"/>
  <c r="O28" i="24" s="1"/>
  <c r="AS52" i="5"/>
  <c r="H11" i="10" s="1"/>
  <c r="K11" i="10" s="1"/>
  <c r="H49" i="23"/>
  <c r="J49" i="23"/>
  <c r="Q49" i="23"/>
  <c r="R49" i="23" s="1"/>
  <c r="J53" i="23" l="1"/>
  <c r="AB30" i="10" l="1"/>
  <c r="AR48" i="5" l="1"/>
  <c r="AR46" i="5"/>
  <c r="AR45" i="5"/>
  <c r="AR44" i="5"/>
  <c r="AR41" i="5"/>
  <c r="AR40" i="5"/>
  <c r="AR39" i="5"/>
  <c r="AR36" i="5"/>
  <c r="AR35" i="5"/>
  <c r="AR34" i="5"/>
  <c r="AR25" i="5"/>
  <c r="AR24" i="5"/>
  <c r="AR22" i="5"/>
  <c r="AR21" i="5"/>
  <c r="AR17" i="5"/>
  <c r="AR8" i="5"/>
  <c r="AR32" i="5"/>
  <c r="AR31" i="5"/>
  <c r="AR27" i="5"/>
  <c r="AR12" i="5"/>
  <c r="AR11" i="5"/>
  <c r="AR10" i="5"/>
  <c r="AF4" i="5"/>
  <c r="AF10" i="5"/>
  <c r="AF11" i="5"/>
  <c r="AF12" i="5"/>
  <c r="AF21" i="5"/>
  <c r="AF22" i="5"/>
  <c r="AF24" i="5"/>
  <c r="AF27" i="5"/>
  <c r="AF31" i="5"/>
  <c r="AF32" i="5"/>
  <c r="AF34" i="5"/>
  <c r="AF35" i="5"/>
  <c r="AF36" i="5"/>
  <c r="AF37" i="5"/>
  <c r="AF38" i="5"/>
  <c r="AF39" i="5"/>
  <c r="AF40" i="5"/>
  <c r="AF48" i="5"/>
  <c r="AR51" i="5" l="1"/>
  <c r="E10" i="10" s="1"/>
  <c r="H44" i="22"/>
  <c r="M12" i="22"/>
  <c r="M48" i="22"/>
  <c r="M47" i="22"/>
  <c r="M45" i="22"/>
  <c r="N45" i="22" s="1"/>
  <c r="O45" i="22" s="1"/>
  <c r="M44" i="22"/>
  <c r="M43" i="22"/>
  <c r="N43" i="22" s="1"/>
  <c r="O43" i="22" s="1"/>
  <c r="M42" i="22"/>
  <c r="M41" i="22"/>
  <c r="N41" i="22" s="1"/>
  <c r="M40" i="22"/>
  <c r="M39" i="22"/>
  <c r="M38" i="22"/>
  <c r="M37" i="22"/>
  <c r="N37" i="22" s="1"/>
  <c r="M36" i="22"/>
  <c r="M35" i="22"/>
  <c r="N35" i="22" s="1"/>
  <c r="O35" i="22" s="1"/>
  <c r="M34" i="22"/>
  <c r="N34" i="22" s="1"/>
  <c r="O34" i="22" s="1"/>
  <c r="M33" i="22"/>
  <c r="M32" i="22"/>
  <c r="M30" i="22"/>
  <c r="N30" i="22" s="1"/>
  <c r="M29" i="22"/>
  <c r="N29" i="22" s="1"/>
  <c r="M28" i="22"/>
  <c r="M26" i="22"/>
  <c r="N26" i="22" s="1"/>
  <c r="O26" i="22" s="1"/>
  <c r="M25" i="22"/>
  <c r="N25" i="22" s="1"/>
  <c r="M24" i="22"/>
  <c r="M22" i="22"/>
  <c r="N22" i="22" s="1"/>
  <c r="O22" i="22" s="1"/>
  <c r="M21" i="22"/>
  <c r="N21" i="22" s="1"/>
  <c r="M20" i="22"/>
  <c r="M18" i="22"/>
  <c r="N18" i="22" s="1"/>
  <c r="O18" i="22" s="1"/>
  <c r="M17" i="22"/>
  <c r="M16" i="22"/>
  <c r="M14" i="22"/>
  <c r="N14" i="22" s="1"/>
  <c r="O14" i="22" s="1"/>
  <c r="M13" i="22"/>
  <c r="N13" i="22" s="1"/>
  <c r="M10" i="22"/>
  <c r="M9" i="22"/>
  <c r="N9" i="22" s="1"/>
  <c r="M8" i="22"/>
  <c r="M7" i="22"/>
  <c r="M5" i="22"/>
  <c r="M4" i="22"/>
  <c r="N4" i="22" s="1"/>
  <c r="M3" i="22"/>
  <c r="M6" i="22"/>
  <c r="N6" i="22" s="1"/>
  <c r="O6" i="22" s="1"/>
  <c r="Q48" i="22"/>
  <c r="N48" i="22"/>
  <c r="O48" i="22" s="1"/>
  <c r="J48" i="22"/>
  <c r="H48" i="22"/>
  <c r="P46" i="22"/>
  <c r="G46" i="22"/>
  <c r="F46" i="22"/>
  <c r="E46" i="22"/>
  <c r="D46" i="22"/>
  <c r="M46" i="23" s="1"/>
  <c r="N46" i="23" s="1"/>
  <c r="O46" i="23" s="1"/>
  <c r="Q45" i="22"/>
  <c r="J45" i="22"/>
  <c r="H45" i="22"/>
  <c r="Q44" i="22"/>
  <c r="N44" i="22"/>
  <c r="O44" i="22" s="1"/>
  <c r="J44" i="22"/>
  <c r="Q43" i="22"/>
  <c r="J43" i="22"/>
  <c r="H43" i="22"/>
  <c r="Q42" i="22"/>
  <c r="N42" i="22"/>
  <c r="J42" i="22"/>
  <c r="Q41" i="22"/>
  <c r="J41" i="22"/>
  <c r="Q40" i="22"/>
  <c r="R40" i="22" s="1"/>
  <c r="N40" i="22"/>
  <c r="O40" i="22" s="1"/>
  <c r="J40" i="22"/>
  <c r="H40" i="22"/>
  <c r="Q39" i="22"/>
  <c r="N39" i="22"/>
  <c r="J39" i="22"/>
  <c r="Q38" i="22"/>
  <c r="R38" i="22" s="1"/>
  <c r="N38" i="22"/>
  <c r="O38" i="22" s="1"/>
  <c r="J38" i="22"/>
  <c r="H38" i="22"/>
  <c r="Q37" i="22"/>
  <c r="R37" i="22" s="1"/>
  <c r="J37" i="22"/>
  <c r="Q36" i="22"/>
  <c r="R36" i="22" s="1"/>
  <c r="N36" i="22"/>
  <c r="O36" i="22" s="1"/>
  <c r="J36" i="22"/>
  <c r="Q35" i="22"/>
  <c r="J35" i="22"/>
  <c r="H35" i="22"/>
  <c r="Q34" i="22"/>
  <c r="J34" i="22"/>
  <c r="H34" i="22"/>
  <c r="Q33" i="22"/>
  <c r="R33" i="22" s="1"/>
  <c r="N33" i="22"/>
  <c r="J33" i="22"/>
  <c r="P31" i="22"/>
  <c r="G31" i="22"/>
  <c r="F31" i="22"/>
  <c r="E31" i="22"/>
  <c r="D31" i="22"/>
  <c r="Q30" i="22"/>
  <c r="J30" i="22"/>
  <c r="Q29" i="22"/>
  <c r="J29" i="22"/>
  <c r="P27" i="22"/>
  <c r="G27" i="22"/>
  <c r="F27" i="22"/>
  <c r="E27" i="22"/>
  <c r="D27" i="22"/>
  <c r="M27" i="23" s="1"/>
  <c r="O27" i="23" s="1"/>
  <c r="Q26" i="22"/>
  <c r="J26" i="22"/>
  <c r="H26" i="22"/>
  <c r="Q25" i="22"/>
  <c r="J25" i="22"/>
  <c r="J27" i="22" s="1"/>
  <c r="H25" i="22"/>
  <c r="V24" i="22"/>
  <c r="V26" i="22" s="1"/>
  <c r="V28" i="22" s="1"/>
  <c r="V30" i="22" s="1"/>
  <c r="V32" i="22" s="1"/>
  <c r="P23" i="22"/>
  <c r="G23" i="22"/>
  <c r="F23" i="22"/>
  <c r="E23" i="22"/>
  <c r="D23" i="22"/>
  <c r="M23" i="23" s="1"/>
  <c r="O23" i="23" s="1"/>
  <c r="Q22" i="22"/>
  <c r="J22" i="22"/>
  <c r="H22" i="22"/>
  <c r="Q21" i="22"/>
  <c r="J21" i="22"/>
  <c r="H21" i="22"/>
  <c r="P19" i="22"/>
  <c r="G19" i="22"/>
  <c r="F19" i="22"/>
  <c r="E19" i="22"/>
  <c r="D19" i="22"/>
  <c r="M19" i="23" s="1"/>
  <c r="N19" i="23" s="1"/>
  <c r="O19" i="23" s="1"/>
  <c r="Q18" i="22"/>
  <c r="J18" i="22"/>
  <c r="Q17" i="22"/>
  <c r="N17" i="22"/>
  <c r="O17" i="22" s="1"/>
  <c r="J17" i="22"/>
  <c r="H17" i="22"/>
  <c r="P15" i="22"/>
  <c r="G15" i="22"/>
  <c r="F15" i="22"/>
  <c r="E15" i="22"/>
  <c r="D15" i="22"/>
  <c r="M15" i="23" s="1"/>
  <c r="Q14" i="22"/>
  <c r="J14" i="22"/>
  <c r="J15" i="22" s="1"/>
  <c r="H14" i="22"/>
  <c r="H15" i="22" s="1"/>
  <c r="Q13" i="22"/>
  <c r="J13" i="22"/>
  <c r="P11" i="22"/>
  <c r="H11" i="22"/>
  <c r="G11" i="22"/>
  <c r="F11" i="22"/>
  <c r="E11" i="22"/>
  <c r="D11" i="22"/>
  <c r="Q10" i="22"/>
  <c r="N10" i="22"/>
  <c r="J10" i="22"/>
  <c r="Q9" i="22"/>
  <c r="J9" i="22"/>
  <c r="Q8" i="22"/>
  <c r="N8" i="22"/>
  <c r="J8" i="22"/>
  <c r="Q6" i="22"/>
  <c r="R6" i="22" s="1"/>
  <c r="J6" i="22"/>
  <c r="H6" i="22"/>
  <c r="Q4" i="22"/>
  <c r="J4" i="22"/>
  <c r="J31" i="22" l="1"/>
  <c r="M31" i="23"/>
  <c r="N31" i="23" s="1"/>
  <c r="M32" i="24"/>
  <c r="N32" i="24" s="1"/>
  <c r="AS57" i="5"/>
  <c r="AS58" i="5" s="1"/>
  <c r="AR55" i="5"/>
  <c r="AR52" i="5"/>
  <c r="H10" i="10" s="1"/>
  <c r="K10" i="10" s="1"/>
  <c r="J19" i="22"/>
  <c r="J23" i="22"/>
  <c r="N23" i="22"/>
  <c r="J11" i="22"/>
  <c r="P49" i="22"/>
  <c r="R46" i="22"/>
  <c r="J46" i="22"/>
  <c r="E49" i="22"/>
  <c r="J52" i="22" s="1"/>
  <c r="D49" i="22"/>
  <c r="M49" i="23" s="1"/>
  <c r="N49" i="23" s="1"/>
  <c r="O49" i="23" s="1"/>
  <c r="F49" i="22"/>
  <c r="G49" i="22"/>
  <c r="N15" i="22"/>
  <c r="S47" i="22"/>
  <c r="N27" i="22"/>
  <c r="O25" i="22"/>
  <c r="O21" i="22"/>
  <c r="E46" i="21"/>
  <c r="E31" i="21"/>
  <c r="E27" i="21"/>
  <c r="E23" i="21"/>
  <c r="E19" i="21"/>
  <c r="J42" i="21"/>
  <c r="J34" i="21"/>
  <c r="J33" i="21"/>
  <c r="J36" i="21"/>
  <c r="J39" i="21"/>
  <c r="J45" i="21"/>
  <c r="J44" i="21"/>
  <c r="J43" i="21"/>
  <c r="J41" i="21"/>
  <c r="J40" i="21"/>
  <c r="J38" i="21"/>
  <c r="J37" i="21"/>
  <c r="J35" i="21"/>
  <c r="E11" i="21"/>
  <c r="E15" i="21"/>
  <c r="J30" i="21"/>
  <c r="J29" i="21"/>
  <c r="J26" i="21"/>
  <c r="J25" i="21"/>
  <c r="J27" i="21" s="1"/>
  <c r="J22" i="21"/>
  <c r="J18" i="21"/>
  <c r="J17" i="21"/>
  <c r="J48" i="21"/>
  <c r="J21" i="21"/>
  <c r="J14" i="21"/>
  <c r="J13" i="21"/>
  <c r="J10" i="21"/>
  <c r="J9" i="21"/>
  <c r="J8" i="21"/>
  <c r="J6" i="21"/>
  <c r="J4" i="21"/>
  <c r="J31" i="21" l="1"/>
  <c r="J23" i="21"/>
  <c r="G52" i="23"/>
  <c r="G53" i="23" s="1"/>
  <c r="P52" i="23"/>
  <c r="Q52" i="23" s="1"/>
  <c r="J11" i="21"/>
  <c r="J19" i="21"/>
  <c r="J15" i="21"/>
  <c r="J49" i="22"/>
  <c r="Q49" i="22"/>
  <c r="R49" i="22" s="1"/>
  <c r="H49" i="22"/>
  <c r="J53" i="22"/>
  <c r="E49" i="21"/>
  <c r="J52" i="21" s="1"/>
  <c r="J46" i="21"/>
  <c r="J49" i="21" l="1"/>
  <c r="V24" i="21"/>
  <c r="V26" i="21" s="1"/>
  <c r="V28" i="21" s="1"/>
  <c r="V30" i="21" s="1"/>
  <c r="V32" i="21" s="1"/>
  <c r="AQ48" i="5" l="1"/>
  <c r="AQ35" i="5"/>
  <c r="AQ36" i="5"/>
  <c r="AQ37" i="5"/>
  <c r="AQ39" i="5"/>
  <c r="AQ40" i="5"/>
  <c r="AQ41" i="5"/>
  <c r="AQ44" i="5"/>
  <c r="AQ45" i="5"/>
  <c r="AQ46" i="5"/>
  <c r="AQ34" i="5"/>
  <c r="AQ32" i="5"/>
  <c r="AQ31" i="5"/>
  <c r="AQ27" i="5"/>
  <c r="AQ25" i="5"/>
  <c r="AQ24" i="5"/>
  <c r="AQ22" i="5"/>
  <c r="AQ21" i="5"/>
  <c r="AQ17" i="5"/>
  <c r="AQ11" i="5"/>
  <c r="AQ12" i="5"/>
  <c r="AQ10" i="5"/>
  <c r="AQ8" i="5"/>
  <c r="H14" i="21"/>
  <c r="H6" i="21"/>
  <c r="M3" i="21"/>
  <c r="M4" i="21"/>
  <c r="N4" i="21" s="1"/>
  <c r="M5" i="21"/>
  <c r="M6" i="21"/>
  <c r="N6" i="21" s="1"/>
  <c r="O6" i="21" s="1"/>
  <c r="M7" i="21"/>
  <c r="M8" i="21"/>
  <c r="N8" i="21" s="1"/>
  <c r="M9" i="21"/>
  <c r="N9" i="21" s="1"/>
  <c r="M10" i="21"/>
  <c r="N10" i="21" s="1"/>
  <c r="M12" i="21"/>
  <c r="M13" i="21"/>
  <c r="M14" i="21"/>
  <c r="N14" i="21" s="1"/>
  <c r="O14" i="21" s="1"/>
  <c r="M16" i="21"/>
  <c r="M17" i="21"/>
  <c r="N17" i="21" s="1"/>
  <c r="O17" i="21" s="1"/>
  <c r="M18" i="21"/>
  <c r="M20" i="21"/>
  <c r="M21" i="21"/>
  <c r="N21" i="21" s="1"/>
  <c r="O21" i="21" s="1"/>
  <c r="M22" i="21"/>
  <c r="N22" i="21" s="1"/>
  <c r="O22" i="21" s="1"/>
  <c r="M24" i="21"/>
  <c r="M25" i="21"/>
  <c r="N25" i="21" s="1"/>
  <c r="O25" i="21" s="1"/>
  <c r="M26" i="21"/>
  <c r="M28" i="21"/>
  <c r="M29" i="21"/>
  <c r="N29" i="21" s="1"/>
  <c r="M30" i="21"/>
  <c r="N30" i="21" s="1"/>
  <c r="M32" i="21"/>
  <c r="M33" i="21"/>
  <c r="N33" i="21" s="1"/>
  <c r="M34" i="21"/>
  <c r="N34" i="21" s="1"/>
  <c r="O34" i="21" s="1"/>
  <c r="M35" i="21"/>
  <c r="N35" i="21" s="1"/>
  <c r="O35" i="21" s="1"/>
  <c r="M36" i="21"/>
  <c r="N36" i="21" s="1"/>
  <c r="O36" i="21" s="1"/>
  <c r="M37" i="21"/>
  <c r="N37" i="21" s="1"/>
  <c r="M38" i="21"/>
  <c r="M39" i="21"/>
  <c r="N39" i="21" s="1"/>
  <c r="M40" i="21"/>
  <c r="N40" i="21" s="1"/>
  <c r="O40" i="21" s="1"/>
  <c r="M41" i="21"/>
  <c r="N41" i="21" s="1"/>
  <c r="M42" i="21"/>
  <c r="N42" i="21" s="1"/>
  <c r="M43" i="21"/>
  <c r="N43" i="21" s="1"/>
  <c r="O43" i="21" s="1"/>
  <c r="M44" i="21"/>
  <c r="N44" i="21" s="1"/>
  <c r="O44" i="21" s="1"/>
  <c r="M45" i="21"/>
  <c r="N45" i="21" s="1"/>
  <c r="O45" i="21" s="1"/>
  <c r="M47" i="21"/>
  <c r="M48" i="21"/>
  <c r="N48" i="21" s="1"/>
  <c r="O48" i="21" s="1"/>
  <c r="Q48" i="21"/>
  <c r="H48" i="21"/>
  <c r="P46" i="21"/>
  <c r="G46" i="21"/>
  <c r="F46" i="21"/>
  <c r="D46" i="21"/>
  <c r="M46" i="22" s="1"/>
  <c r="N46" i="22" s="1"/>
  <c r="O46" i="22" s="1"/>
  <c r="Q45" i="21"/>
  <c r="H45" i="21"/>
  <c r="Q44" i="21"/>
  <c r="Q43" i="21"/>
  <c r="H43" i="21"/>
  <c r="Q42" i="21"/>
  <c r="Q41" i="21"/>
  <c r="Q40" i="21"/>
  <c r="H40" i="21"/>
  <c r="Q39" i="21"/>
  <c r="Q38" i="21"/>
  <c r="N38" i="21"/>
  <c r="O38" i="21" s="1"/>
  <c r="H38" i="21"/>
  <c r="Q37" i="21"/>
  <c r="R37" i="21" s="1"/>
  <c r="Q36" i="21"/>
  <c r="R36" i="21" s="1"/>
  <c r="H36" i="21"/>
  <c r="Q35" i="21"/>
  <c r="H35" i="21"/>
  <c r="Q34" i="21"/>
  <c r="H34" i="21"/>
  <c r="Q33" i="21"/>
  <c r="R33" i="21" s="1"/>
  <c r="P31" i="21"/>
  <c r="G31" i="21"/>
  <c r="F31" i="21"/>
  <c r="D31" i="21"/>
  <c r="M31" i="22" s="1"/>
  <c r="N31" i="22" s="1"/>
  <c r="Q30" i="21"/>
  <c r="Q29" i="21"/>
  <c r="P27" i="21"/>
  <c r="G27" i="21"/>
  <c r="F27" i="21"/>
  <c r="D27" i="21"/>
  <c r="M27" i="22" s="1"/>
  <c r="O27" i="22" s="1"/>
  <c r="Q26" i="21"/>
  <c r="N26" i="21"/>
  <c r="O26" i="21" s="1"/>
  <c r="H26" i="21"/>
  <c r="Q25" i="21"/>
  <c r="H25" i="21"/>
  <c r="P23" i="21"/>
  <c r="G23" i="21"/>
  <c r="F23" i="21"/>
  <c r="D23" i="21"/>
  <c r="M23" i="22" s="1"/>
  <c r="O23" i="22" s="1"/>
  <c r="Q22" i="21"/>
  <c r="H22" i="21"/>
  <c r="Q21" i="21"/>
  <c r="H21" i="21"/>
  <c r="P19" i="21"/>
  <c r="G19" i="21"/>
  <c r="F19" i="21"/>
  <c r="D19" i="21"/>
  <c r="M19" i="22" s="1"/>
  <c r="N19" i="22" s="1"/>
  <c r="O19" i="22" s="1"/>
  <c r="Q18" i="21"/>
  <c r="N18" i="21"/>
  <c r="O18" i="21" s="1"/>
  <c r="H18" i="21"/>
  <c r="Q17" i="21"/>
  <c r="H17" i="21"/>
  <c r="P15" i="21"/>
  <c r="G15" i="21"/>
  <c r="F15" i="21"/>
  <c r="D15" i="21"/>
  <c r="M15" i="22" s="1"/>
  <c r="Q14" i="21"/>
  <c r="Q13" i="21"/>
  <c r="N13" i="21"/>
  <c r="P11" i="21"/>
  <c r="H11" i="21"/>
  <c r="G11" i="21"/>
  <c r="F11" i="21"/>
  <c r="D11" i="21"/>
  <c r="M11" i="24" s="1"/>
  <c r="N11" i="24" s="1"/>
  <c r="Q10" i="21"/>
  <c r="Q9" i="21"/>
  <c r="Q8" i="21"/>
  <c r="Q6" i="21"/>
  <c r="R6" i="21" s="1"/>
  <c r="Q4" i="21"/>
  <c r="D14" i="17"/>
  <c r="M11" i="22" l="1"/>
  <c r="N11" i="22" s="1"/>
  <c r="M11" i="23"/>
  <c r="N11" i="23" s="1"/>
  <c r="R46" i="21"/>
  <c r="S47" i="21"/>
  <c r="AQ51" i="5"/>
  <c r="E9" i="10" s="1"/>
  <c r="P49" i="21"/>
  <c r="G49" i="21"/>
  <c r="F49" i="21"/>
  <c r="D49" i="21"/>
  <c r="M49" i="22" s="1"/>
  <c r="N49" i="22" s="1"/>
  <c r="O49" i="22" s="1"/>
  <c r="N15" i="21"/>
  <c r="N23" i="21"/>
  <c r="N27" i="21"/>
  <c r="AE4" i="5"/>
  <c r="AE10" i="5"/>
  <c r="AE11" i="5"/>
  <c r="AE12" i="5"/>
  <c r="AE21" i="5"/>
  <c r="AE22" i="5"/>
  <c r="AE24" i="5"/>
  <c r="AE27" i="5"/>
  <c r="AE31" i="5"/>
  <c r="AE32" i="5"/>
  <c r="AE34" i="5"/>
  <c r="AE35" i="5"/>
  <c r="AE36" i="5"/>
  <c r="AE37" i="5"/>
  <c r="AE38" i="5"/>
  <c r="AE39" i="5"/>
  <c r="AE40" i="5"/>
  <c r="AE48" i="5"/>
  <c r="AQ55" i="5" l="1"/>
  <c r="P52" i="22"/>
  <c r="Q52" i="22" s="1"/>
  <c r="G52" i="22"/>
  <c r="G53" i="22" s="1"/>
  <c r="AR57" i="5"/>
  <c r="AR58" i="5" s="1"/>
  <c r="AQ52" i="5"/>
  <c r="H9" i="10" s="1"/>
  <c r="K9" i="10" s="1"/>
  <c r="Q49" i="21"/>
  <c r="R49" i="21" s="1"/>
  <c r="H49" i="21"/>
  <c r="AE51" i="5"/>
  <c r="J53" i="21" l="1"/>
  <c r="R30" i="20"/>
  <c r="R29" i="20"/>
  <c r="AP48" i="5" l="1"/>
  <c r="AP46" i="5"/>
  <c r="AX46" i="5" s="1"/>
  <c r="AP36" i="5"/>
  <c r="AP37" i="5"/>
  <c r="AP39" i="5"/>
  <c r="AP40" i="5"/>
  <c r="AP41" i="5"/>
  <c r="AP44" i="5"/>
  <c r="AP45" i="5"/>
  <c r="AX45" i="5" s="1"/>
  <c r="AP35" i="5"/>
  <c r="AP34" i="5"/>
  <c r="AP27" i="5"/>
  <c r="AP25" i="5"/>
  <c r="AP24" i="5"/>
  <c r="AP22" i="5"/>
  <c r="AP21" i="5"/>
  <c r="AP17" i="5"/>
  <c r="AX17" i="5" s="1"/>
  <c r="AP12" i="5"/>
  <c r="AP11" i="5"/>
  <c r="AP10" i="5"/>
  <c r="AP8" i="5"/>
  <c r="AX8" i="5" s="1"/>
  <c r="AP51" i="5" l="1"/>
  <c r="E8" i="10" l="1"/>
  <c r="AP52" i="5"/>
  <c r="AQ57" i="5"/>
  <c r="AQ58" i="5" s="1"/>
  <c r="AP55" i="5"/>
  <c r="H45" i="20"/>
  <c r="M46" i="20"/>
  <c r="M31" i="20"/>
  <c r="M27" i="20"/>
  <c r="M23" i="20"/>
  <c r="M19" i="20"/>
  <c r="M11" i="20"/>
  <c r="M15" i="20"/>
  <c r="N33" i="20"/>
  <c r="N25" i="20"/>
  <c r="O25" i="20" s="1"/>
  <c r="Q48" i="20"/>
  <c r="N48" i="20"/>
  <c r="O48" i="20" s="1"/>
  <c r="J48" i="20"/>
  <c r="H48" i="20"/>
  <c r="P46" i="20"/>
  <c r="G46" i="20"/>
  <c r="F46" i="20"/>
  <c r="E46" i="20"/>
  <c r="D46" i="20"/>
  <c r="Q45" i="20"/>
  <c r="N45" i="20"/>
  <c r="J45" i="20"/>
  <c r="Q44" i="20"/>
  <c r="N44" i="20"/>
  <c r="J44" i="20"/>
  <c r="Q43" i="20"/>
  <c r="N43" i="20"/>
  <c r="O43" i="20" s="1"/>
  <c r="J43" i="20"/>
  <c r="H43" i="20"/>
  <c r="Q42" i="20"/>
  <c r="N42" i="20"/>
  <c r="J42" i="20"/>
  <c r="Q41" i="20"/>
  <c r="N41" i="20"/>
  <c r="J41" i="20"/>
  <c r="Q40" i="20"/>
  <c r="N40" i="20"/>
  <c r="O40" i="20" s="1"/>
  <c r="J40" i="20"/>
  <c r="H40" i="20"/>
  <c r="Q39" i="20"/>
  <c r="N39" i="20"/>
  <c r="J39" i="20"/>
  <c r="Q38" i="20"/>
  <c r="N38" i="20"/>
  <c r="O38" i="20" s="1"/>
  <c r="J38" i="20"/>
  <c r="H38" i="20"/>
  <c r="Q37" i="20"/>
  <c r="N37" i="20"/>
  <c r="J37" i="20"/>
  <c r="Q36" i="20"/>
  <c r="N36" i="20"/>
  <c r="O36" i="20" s="1"/>
  <c r="J36" i="20"/>
  <c r="H36" i="20"/>
  <c r="Q35" i="20"/>
  <c r="N35" i="20"/>
  <c r="O35" i="20" s="1"/>
  <c r="J35" i="20"/>
  <c r="H35" i="20"/>
  <c r="Q34" i="20"/>
  <c r="N34" i="20"/>
  <c r="O34" i="20" s="1"/>
  <c r="J34" i="20"/>
  <c r="H34" i="20"/>
  <c r="Q33" i="20"/>
  <c r="J33" i="20"/>
  <c r="P31" i="20"/>
  <c r="G31" i="20"/>
  <c r="F31" i="20"/>
  <c r="E31" i="20"/>
  <c r="D31" i="20"/>
  <c r="Q30" i="20"/>
  <c r="N30" i="20"/>
  <c r="J30" i="20"/>
  <c r="S30" i="20" s="1"/>
  <c r="Q29" i="20"/>
  <c r="N29" i="20"/>
  <c r="J29" i="20"/>
  <c r="S29" i="20" s="1"/>
  <c r="P27" i="20"/>
  <c r="G27" i="20"/>
  <c r="F27" i="20"/>
  <c r="E27" i="20"/>
  <c r="D27" i="20"/>
  <c r="M27" i="21" s="1"/>
  <c r="O27" i="21" s="1"/>
  <c r="Q26" i="20"/>
  <c r="N26" i="20"/>
  <c r="O26" i="20" s="1"/>
  <c r="J26" i="20"/>
  <c r="H26" i="20"/>
  <c r="Q25" i="20"/>
  <c r="J25" i="20"/>
  <c r="H25" i="20"/>
  <c r="P23" i="20"/>
  <c r="G23" i="20"/>
  <c r="F23" i="20"/>
  <c r="E23" i="20"/>
  <c r="D23" i="20"/>
  <c r="M23" i="21" s="1"/>
  <c r="O23" i="21" s="1"/>
  <c r="Q22" i="20"/>
  <c r="N22" i="20"/>
  <c r="O22" i="20" s="1"/>
  <c r="J22" i="20"/>
  <c r="H22" i="20"/>
  <c r="Q21" i="20"/>
  <c r="N21" i="20"/>
  <c r="J21" i="20"/>
  <c r="H21" i="20"/>
  <c r="G19" i="20"/>
  <c r="F19" i="20"/>
  <c r="E19" i="20"/>
  <c r="D19" i="20"/>
  <c r="Q18" i="20"/>
  <c r="N18" i="20"/>
  <c r="O18" i="20" s="1"/>
  <c r="J18" i="20"/>
  <c r="H18" i="20"/>
  <c r="Q17" i="20"/>
  <c r="P19" i="20" s="1"/>
  <c r="N17" i="20"/>
  <c r="O17" i="20" s="1"/>
  <c r="J17" i="20"/>
  <c r="H17" i="20"/>
  <c r="P15" i="20"/>
  <c r="H15" i="20"/>
  <c r="G15" i="20"/>
  <c r="F15" i="20"/>
  <c r="E15" i="20"/>
  <c r="D15" i="20"/>
  <c r="M15" i="21" s="1"/>
  <c r="Q14" i="20"/>
  <c r="N14" i="20"/>
  <c r="J14" i="20"/>
  <c r="Q13" i="20"/>
  <c r="N13" i="20"/>
  <c r="J13" i="20"/>
  <c r="P11" i="20"/>
  <c r="H11" i="20"/>
  <c r="G11" i="20"/>
  <c r="F11" i="20"/>
  <c r="E11" i="20"/>
  <c r="D11" i="20"/>
  <c r="M11" i="21" s="1"/>
  <c r="N11" i="21" s="1"/>
  <c r="Q10" i="20"/>
  <c r="N10" i="20"/>
  <c r="J10" i="20"/>
  <c r="Q9" i="20"/>
  <c r="N9" i="20"/>
  <c r="J9" i="20"/>
  <c r="Q8" i="20"/>
  <c r="N8" i="20"/>
  <c r="J8" i="20"/>
  <c r="Q6" i="20"/>
  <c r="N6" i="20"/>
  <c r="J6" i="20"/>
  <c r="Q4" i="20"/>
  <c r="N4" i="20"/>
  <c r="J4" i="20"/>
  <c r="H8" i="10" l="1"/>
  <c r="K8" i="10" s="1"/>
  <c r="N23" i="20"/>
  <c r="O23" i="20" s="1"/>
  <c r="M49" i="20"/>
  <c r="N31" i="20"/>
  <c r="M31" i="21"/>
  <c r="N31" i="21" s="1"/>
  <c r="N19" i="20"/>
  <c r="O19" i="20" s="1"/>
  <c r="M19" i="21"/>
  <c r="N19" i="21" s="1"/>
  <c r="O19" i="21" s="1"/>
  <c r="N46" i="20"/>
  <c r="O46" i="20" s="1"/>
  <c r="M46" i="21"/>
  <c r="N46" i="21" s="1"/>
  <c r="O46" i="21" s="1"/>
  <c r="N15" i="20"/>
  <c r="J27" i="20"/>
  <c r="J11" i="20"/>
  <c r="P49" i="20"/>
  <c r="F49" i="20"/>
  <c r="G49" i="20"/>
  <c r="E49" i="20"/>
  <c r="J19" i="20"/>
  <c r="D49" i="20"/>
  <c r="M49" i="21" s="1"/>
  <c r="N49" i="21" s="1"/>
  <c r="O49" i="21" s="1"/>
  <c r="N11" i="20"/>
  <c r="J15" i="20"/>
  <c r="J23" i="20"/>
  <c r="O21" i="20"/>
  <c r="J31" i="20"/>
  <c r="J46" i="20"/>
  <c r="N27" i="20"/>
  <c r="O27" i="20" s="1"/>
  <c r="G52" i="21" l="1"/>
  <c r="G53" i="21" s="1"/>
  <c r="P52" i="21"/>
  <c r="Q52" i="21" s="1"/>
  <c r="J52" i="20"/>
  <c r="Q49" i="20"/>
  <c r="R49" i="20" s="1"/>
  <c r="J49" i="20"/>
  <c r="N49" i="20"/>
  <c r="O49" i="20" s="1"/>
  <c r="H49" i="20"/>
  <c r="AM44" i="5"/>
  <c r="J53" i="20" l="1"/>
  <c r="N36" i="19"/>
  <c r="N37" i="19"/>
  <c r="N38" i="19"/>
  <c r="N39" i="19"/>
  <c r="N40" i="19"/>
  <c r="N41" i="19"/>
  <c r="N42" i="19"/>
  <c r="N43" i="19"/>
  <c r="N44" i="19"/>
  <c r="N45" i="19"/>
  <c r="N46" i="19"/>
  <c r="N35" i="19"/>
  <c r="N50" i="19"/>
  <c r="AO48" i="5" l="1"/>
  <c r="AO44" i="5"/>
  <c r="AO43" i="5"/>
  <c r="AO41" i="5"/>
  <c r="AO40" i="5"/>
  <c r="AO39" i="5"/>
  <c r="AO37" i="5"/>
  <c r="AO36" i="5"/>
  <c r="AO35" i="5"/>
  <c r="AO34" i="5"/>
  <c r="AO32" i="5"/>
  <c r="AO31" i="5"/>
  <c r="AO27" i="5"/>
  <c r="AO25" i="5"/>
  <c r="AO24" i="5"/>
  <c r="AO22" i="5"/>
  <c r="AO21" i="5"/>
  <c r="AO12" i="5"/>
  <c r="AO11" i="5"/>
  <c r="AO10" i="5"/>
  <c r="AO51" i="5" l="1"/>
  <c r="E7" i="10" s="1"/>
  <c r="N47" i="19"/>
  <c r="AP57" i="5" l="1"/>
  <c r="AP58" i="5" s="1"/>
  <c r="AO52" i="5"/>
  <c r="AO55" i="5"/>
  <c r="O50" i="19"/>
  <c r="N28" i="19"/>
  <c r="O28" i="19" s="1"/>
  <c r="N27" i="19"/>
  <c r="O27" i="19" s="1"/>
  <c r="N32" i="19"/>
  <c r="N31" i="19"/>
  <c r="O36" i="19"/>
  <c r="O38" i="19"/>
  <c r="O42" i="19"/>
  <c r="O37" i="19"/>
  <c r="O40" i="19"/>
  <c r="O44" i="19"/>
  <c r="O45" i="19"/>
  <c r="N24" i="19"/>
  <c r="O24" i="19" s="1"/>
  <c r="N23" i="19"/>
  <c r="N20" i="19"/>
  <c r="O20" i="19" s="1"/>
  <c r="N19" i="19"/>
  <c r="O19" i="19" s="1"/>
  <c r="N17" i="19"/>
  <c r="H7" i="10" l="1"/>
  <c r="K7" i="10" s="1"/>
  <c r="N25" i="19"/>
  <c r="O23" i="19"/>
  <c r="G14" i="17"/>
  <c r="Q14" i="19"/>
  <c r="P15" i="19"/>
  <c r="N14" i="19"/>
  <c r="N13" i="19"/>
  <c r="M15" i="19"/>
  <c r="M48" i="19"/>
  <c r="M33" i="19"/>
  <c r="M29" i="19"/>
  <c r="M25" i="19"/>
  <c r="O25" i="19" s="1"/>
  <c r="M21" i="19"/>
  <c r="M11" i="19"/>
  <c r="J36" i="19"/>
  <c r="J37" i="19"/>
  <c r="J38" i="19"/>
  <c r="J39" i="19"/>
  <c r="J40" i="19"/>
  <c r="J41" i="19"/>
  <c r="J42" i="19"/>
  <c r="J43" i="19"/>
  <c r="J44" i="19"/>
  <c r="J45" i="19"/>
  <c r="J46" i="19"/>
  <c r="J50" i="19"/>
  <c r="J47" i="19"/>
  <c r="J35" i="19"/>
  <c r="J32" i="19"/>
  <c r="J31" i="19"/>
  <c r="J28" i="19"/>
  <c r="J27" i="19"/>
  <c r="J24" i="19"/>
  <c r="J23" i="19"/>
  <c r="J6" i="19"/>
  <c r="J4" i="19"/>
  <c r="J10" i="19"/>
  <c r="J9" i="19"/>
  <c r="J8" i="19"/>
  <c r="J14" i="19"/>
  <c r="J13" i="19"/>
  <c r="J20" i="19"/>
  <c r="J19" i="19"/>
  <c r="J17" i="19"/>
  <c r="E15" i="19"/>
  <c r="F15" i="19"/>
  <c r="G15" i="19"/>
  <c r="H15" i="19"/>
  <c r="D15" i="19"/>
  <c r="Q50" i="19"/>
  <c r="H50" i="19"/>
  <c r="P48" i="19"/>
  <c r="G48" i="19"/>
  <c r="F48" i="19"/>
  <c r="E48" i="19"/>
  <c r="D48" i="19"/>
  <c r="Q47" i="19"/>
  <c r="Q46" i="19"/>
  <c r="Q45" i="19"/>
  <c r="H45" i="19"/>
  <c r="Q44" i="19"/>
  <c r="H44" i="19"/>
  <c r="Q43" i="19"/>
  <c r="Q42" i="19"/>
  <c r="H42" i="19"/>
  <c r="Q41" i="19"/>
  <c r="Q40" i="19"/>
  <c r="H40" i="19"/>
  <c r="Q39" i="19"/>
  <c r="Q38" i="19"/>
  <c r="H38" i="19"/>
  <c r="Q37" i="19"/>
  <c r="H37" i="19"/>
  <c r="Q36" i="19"/>
  <c r="H36" i="19"/>
  <c r="Q35" i="19"/>
  <c r="P33" i="19"/>
  <c r="G33" i="19"/>
  <c r="F33" i="19"/>
  <c r="E33" i="19"/>
  <c r="D33" i="19"/>
  <c r="N33" i="19" s="1"/>
  <c r="Q32" i="19"/>
  <c r="Q31" i="19"/>
  <c r="P29" i="19"/>
  <c r="G29" i="19"/>
  <c r="F29" i="19"/>
  <c r="E29" i="19"/>
  <c r="D29" i="19"/>
  <c r="Q28" i="19"/>
  <c r="H28" i="19"/>
  <c r="Q27" i="19"/>
  <c r="H27" i="19"/>
  <c r="P25" i="19"/>
  <c r="G25" i="19"/>
  <c r="F25" i="19"/>
  <c r="E25" i="19"/>
  <c r="D25" i="19"/>
  <c r="Q24" i="19"/>
  <c r="H24" i="19"/>
  <c r="Q23" i="19"/>
  <c r="J25" i="19"/>
  <c r="H23" i="19"/>
  <c r="P21" i="19"/>
  <c r="G21" i="19"/>
  <c r="F21" i="19"/>
  <c r="E21" i="19"/>
  <c r="D21" i="19"/>
  <c r="N21" i="19" s="1"/>
  <c r="O21" i="19" s="1"/>
  <c r="Q20" i="19"/>
  <c r="H20" i="19"/>
  <c r="Q19" i="19"/>
  <c r="H19" i="19"/>
  <c r="Q17" i="19"/>
  <c r="Q13" i="19"/>
  <c r="P11" i="19"/>
  <c r="H11" i="19"/>
  <c r="G11" i="19"/>
  <c r="F11" i="19"/>
  <c r="E11" i="19"/>
  <c r="D11" i="19"/>
  <c r="Q10" i="19"/>
  <c r="N10" i="19"/>
  <c r="Q9" i="19"/>
  <c r="N9" i="19"/>
  <c r="Q8" i="19"/>
  <c r="Q6" i="19"/>
  <c r="N6" i="19"/>
  <c r="Q4" i="19"/>
  <c r="J11" i="19" l="1"/>
  <c r="G51" i="19"/>
  <c r="N48" i="19"/>
  <c r="O48" i="19" s="1"/>
  <c r="P51" i="19"/>
  <c r="J48" i="19"/>
  <c r="E51" i="19"/>
  <c r="J21" i="19"/>
  <c r="F51" i="19"/>
  <c r="D51" i="19"/>
  <c r="M51" i="19"/>
  <c r="J33" i="19"/>
  <c r="J29" i="19"/>
  <c r="J15" i="19"/>
  <c r="N29" i="19"/>
  <c r="O29" i="19" s="1"/>
  <c r="N11" i="19"/>
  <c r="N4" i="19"/>
  <c r="N8" i="19"/>
  <c r="G52" i="20" l="1"/>
  <c r="G53" i="20" s="1"/>
  <c r="N51" i="19"/>
  <c r="O51" i="19" s="1"/>
  <c r="J54" i="19"/>
  <c r="J51" i="19"/>
  <c r="H51" i="19"/>
  <c r="Q51" i="19"/>
  <c r="R51" i="19" s="1"/>
  <c r="J55" i="19" l="1"/>
  <c r="T34" i="18" l="1"/>
  <c r="T35" i="18"/>
  <c r="T36" i="18"/>
  <c r="T37" i="18"/>
  <c r="T38" i="18"/>
  <c r="T39" i="18"/>
  <c r="T40" i="18"/>
  <c r="T41" i="18"/>
  <c r="T42" i="18"/>
  <c r="T43" i="18"/>
  <c r="T44" i="18"/>
  <c r="T45" i="18"/>
  <c r="T33" i="18"/>
  <c r="AD34" i="5" l="1"/>
  <c r="AN48" i="5"/>
  <c r="AN44" i="5"/>
  <c r="AX44" i="5" s="1"/>
  <c r="AN43" i="5"/>
  <c r="AN41" i="5"/>
  <c r="AN40" i="5"/>
  <c r="AN39" i="5"/>
  <c r="AN38" i="5"/>
  <c r="AN37" i="5"/>
  <c r="AN36" i="5"/>
  <c r="AN35" i="5"/>
  <c r="AN34" i="5"/>
  <c r="AN32" i="5"/>
  <c r="AN31" i="5"/>
  <c r="AN27" i="5"/>
  <c r="AN25" i="5"/>
  <c r="AX25" i="5" s="1"/>
  <c r="AN24" i="5"/>
  <c r="AN22" i="5"/>
  <c r="AN21" i="5"/>
  <c r="AN12" i="5"/>
  <c r="AN10" i="5"/>
  <c r="AN11" i="5"/>
  <c r="D46" i="17"/>
  <c r="D43" i="17"/>
  <c r="D44" i="17"/>
  <c r="D45" i="17"/>
  <c r="D6" i="17"/>
  <c r="D9" i="17"/>
  <c r="G9" i="17" s="1"/>
  <c r="G10" i="17"/>
  <c r="D17" i="17"/>
  <c r="D18" i="17"/>
  <c r="D21" i="17"/>
  <c r="D22" i="17"/>
  <c r="D49" i="17"/>
  <c r="D31" i="17"/>
  <c r="D30" i="17"/>
  <c r="D26" i="17"/>
  <c r="G26" i="17" s="1"/>
  <c r="D25" i="17"/>
  <c r="D39" i="17"/>
  <c r="J22" i="18"/>
  <c r="H22" i="18"/>
  <c r="H42" i="18"/>
  <c r="H26" i="18"/>
  <c r="H25" i="18"/>
  <c r="Q13" i="18"/>
  <c r="P23" i="18"/>
  <c r="J13" i="18"/>
  <c r="M48" i="18"/>
  <c r="N48" i="18" s="1"/>
  <c r="O48" i="18" s="1"/>
  <c r="H21" i="18"/>
  <c r="M43" i="18"/>
  <c r="N43" i="18" s="1"/>
  <c r="O43" i="18" s="1"/>
  <c r="M42" i="18"/>
  <c r="N42" i="18" s="1"/>
  <c r="O42" i="18" s="1"/>
  <c r="M41" i="18"/>
  <c r="M40" i="18"/>
  <c r="N40" i="18" s="1"/>
  <c r="O40" i="18" s="1"/>
  <c r="M39" i="18"/>
  <c r="N39" i="18" s="1"/>
  <c r="M38" i="18"/>
  <c r="N38" i="18" s="1"/>
  <c r="O38" i="18" s="1"/>
  <c r="M37" i="18"/>
  <c r="N37" i="18" s="1"/>
  <c r="O37" i="18" s="1"/>
  <c r="M36" i="18"/>
  <c r="N36" i="18" s="1"/>
  <c r="O36" i="18" s="1"/>
  <c r="M35" i="18"/>
  <c r="M34" i="18"/>
  <c r="N34" i="18" s="1"/>
  <c r="O34" i="18" s="1"/>
  <c r="M33" i="18"/>
  <c r="N33" i="18" s="1"/>
  <c r="O33" i="18" s="1"/>
  <c r="M30" i="18"/>
  <c r="M29" i="18"/>
  <c r="N29" i="18" s="1"/>
  <c r="M26" i="18"/>
  <c r="M25" i="18"/>
  <c r="M22" i="18"/>
  <c r="N22" i="18" s="1"/>
  <c r="M21" i="18"/>
  <c r="M18" i="18"/>
  <c r="N18" i="18" s="1"/>
  <c r="O18" i="18" s="1"/>
  <c r="M17" i="18"/>
  <c r="M15" i="18"/>
  <c r="N15" i="18" s="1"/>
  <c r="M10" i="18"/>
  <c r="N10" i="18" s="1"/>
  <c r="M9" i="18"/>
  <c r="N9" i="18" s="1"/>
  <c r="M8" i="18"/>
  <c r="M6" i="18"/>
  <c r="N6" i="18" s="1"/>
  <c r="M4" i="18"/>
  <c r="N4" i="18" s="1"/>
  <c r="J44" i="18"/>
  <c r="N44" i="18"/>
  <c r="Q44" i="18"/>
  <c r="Q43" i="18"/>
  <c r="J43" i="18"/>
  <c r="H43" i="18"/>
  <c r="Q48" i="18"/>
  <c r="J48" i="18"/>
  <c r="H48" i="18"/>
  <c r="P46" i="18"/>
  <c r="G46" i="18"/>
  <c r="F46" i="18"/>
  <c r="E46" i="18"/>
  <c r="D46" i="18"/>
  <c r="Q45" i="18"/>
  <c r="N45" i="18"/>
  <c r="J45" i="18"/>
  <c r="Q42" i="18"/>
  <c r="J42" i="18"/>
  <c r="Q41" i="18"/>
  <c r="N41" i="18"/>
  <c r="J41" i="18"/>
  <c r="Q40" i="18"/>
  <c r="J40" i="18"/>
  <c r="H40" i="18"/>
  <c r="Q39" i="18"/>
  <c r="J39" i="18"/>
  <c r="Q38" i="18"/>
  <c r="J38" i="18"/>
  <c r="H38" i="18"/>
  <c r="Q37" i="18"/>
  <c r="J37" i="18"/>
  <c r="H37" i="18"/>
  <c r="Q36" i="18"/>
  <c r="J36" i="18"/>
  <c r="H36" i="18"/>
  <c r="Q35" i="18"/>
  <c r="J35" i="18"/>
  <c r="H35" i="18"/>
  <c r="Q34" i="18"/>
  <c r="J34" i="18"/>
  <c r="H34" i="18"/>
  <c r="Q33" i="18"/>
  <c r="J33" i="18"/>
  <c r="P31" i="18"/>
  <c r="G31" i="18"/>
  <c r="F31" i="18"/>
  <c r="E31" i="18"/>
  <c r="D31" i="18"/>
  <c r="Q30" i="18"/>
  <c r="J30" i="18"/>
  <c r="Q29" i="18"/>
  <c r="J29" i="18"/>
  <c r="P27" i="18"/>
  <c r="G27" i="18"/>
  <c r="F27" i="18"/>
  <c r="E27" i="18"/>
  <c r="D27" i="18"/>
  <c r="Q26" i="18"/>
  <c r="N26" i="18"/>
  <c r="O26" i="18" s="1"/>
  <c r="J26" i="18"/>
  <c r="Q25" i="18"/>
  <c r="J25" i="18"/>
  <c r="G23" i="18"/>
  <c r="F23" i="18"/>
  <c r="E23" i="18"/>
  <c r="D23" i="18"/>
  <c r="Q22" i="18"/>
  <c r="Q21" i="18"/>
  <c r="N21" i="18"/>
  <c r="J21" i="18"/>
  <c r="P19" i="18"/>
  <c r="G19" i="18"/>
  <c r="F19" i="18"/>
  <c r="E19" i="18"/>
  <c r="D19" i="18"/>
  <c r="Q18" i="18"/>
  <c r="J18" i="18"/>
  <c r="H18" i="18"/>
  <c r="Q17" i="18"/>
  <c r="J17" i="18"/>
  <c r="J19" i="18" s="1"/>
  <c r="H17" i="18"/>
  <c r="Q15" i="18"/>
  <c r="J15" i="18"/>
  <c r="P11" i="18"/>
  <c r="H11" i="18"/>
  <c r="G11" i="18"/>
  <c r="F11" i="18"/>
  <c r="E11" i="18"/>
  <c r="D11" i="18"/>
  <c r="Q10" i="18"/>
  <c r="J10" i="18"/>
  <c r="Q9" i="18"/>
  <c r="J9" i="18"/>
  <c r="Q8" i="18"/>
  <c r="J8" i="18"/>
  <c r="Q6" i="18"/>
  <c r="J6" i="18"/>
  <c r="Q4" i="18"/>
  <c r="J4" i="18"/>
  <c r="J27" i="18"/>
  <c r="O18" i="10"/>
  <c r="P18" i="10"/>
  <c r="Q18" i="10"/>
  <c r="AE52" i="5" s="1"/>
  <c r="R18" i="10"/>
  <c r="S18" i="10"/>
  <c r="T18" i="10"/>
  <c r="U18" i="10"/>
  <c r="V18" i="10"/>
  <c r="W18" i="10"/>
  <c r="X18" i="10"/>
  <c r="C39" i="1"/>
  <c r="D39" i="1"/>
  <c r="E39" i="1"/>
  <c r="F39" i="1"/>
  <c r="G39" i="1"/>
  <c r="H39" i="1"/>
  <c r="I39" i="1"/>
  <c r="J39" i="1"/>
  <c r="K39" i="1"/>
  <c r="D34" i="17"/>
  <c r="D35" i="17"/>
  <c r="D36" i="17"/>
  <c r="D37" i="17"/>
  <c r="D38" i="17"/>
  <c r="D40" i="17"/>
  <c r="D41" i="17"/>
  <c r="D42" i="17"/>
  <c r="AD4" i="5"/>
  <c r="AL4" i="5" s="1"/>
  <c r="AG4" i="5"/>
  <c r="AD10" i="5"/>
  <c r="AG10" i="5"/>
  <c r="AH10" i="5"/>
  <c r="AI10" i="5"/>
  <c r="AJ10" i="5"/>
  <c r="AK10" i="5"/>
  <c r="AM10" i="5"/>
  <c r="AD11" i="5"/>
  <c r="AL11" i="5" s="1"/>
  <c r="AG11" i="5"/>
  <c r="AH11" i="5"/>
  <c r="AI11" i="5"/>
  <c r="AJ11" i="5"/>
  <c r="AK11" i="5"/>
  <c r="AM11" i="5"/>
  <c r="AD12" i="5"/>
  <c r="AG12" i="5"/>
  <c r="AH12" i="5"/>
  <c r="AI12" i="5"/>
  <c r="AJ12" i="5"/>
  <c r="AK12" i="5"/>
  <c r="AM12" i="5"/>
  <c r="AD21" i="5"/>
  <c r="AG21" i="5"/>
  <c r="AH21" i="5"/>
  <c r="AI21" i="5"/>
  <c r="AJ21" i="5"/>
  <c r="AK21" i="5"/>
  <c r="AM21" i="5"/>
  <c r="AD22" i="5"/>
  <c r="AG22" i="5"/>
  <c r="AH22" i="5"/>
  <c r="AI22" i="5"/>
  <c r="AJ22" i="5"/>
  <c r="AK22" i="5"/>
  <c r="AM22" i="5"/>
  <c r="AD24" i="5"/>
  <c r="AG24" i="5"/>
  <c r="AH24" i="5"/>
  <c r="AI24" i="5"/>
  <c r="AJ24" i="5"/>
  <c r="AK24" i="5"/>
  <c r="AM24" i="5"/>
  <c r="AD27" i="5"/>
  <c r="AG27" i="5"/>
  <c r="AH27" i="5"/>
  <c r="AI27" i="5"/>
  <c r="AJ27" i="5"/>
  <c r="AK27" i="5"/>
  <c r="AM27" i="5"/>
  <c r="AG31" i="5"/>
  <c r="AH31" i="5"/>
  <c r="AI31" i="5"/>
  <c r="AJ31" i="5"/>
  <c r="AK31" i="5"/>
  <c r="AM31" i="5"/>
  <c r="AX31" i="5" s="1"/>
  <c r="AG32" i="5"/>
  <c r="AH32" i="5"/>
  <c r="AI32" i="5"/>
  <c r="AJ32" i="5"/>
  <c r="AK32" i="5"/>
  <c r="AM32" i="5"/>
  <c r="AX32" i="5" s="1"/>
  <c r="X34" i="5"/>
  <c r="AG34" i="5"/>
  <c r="AH34" i="5"/>
  <c r="AI34" i="5"/>
  <c r="AJ34" i="5"/>
  <c r="AK34" i="5"/>
  <c r="AM34" i="5"/>
  <c r="AD35" i="5"/>
  <c r="AG35" i="5"/>
  <c r="AH35" i="5"/>
  <c r="AI35" i="5"/>
  <c r="AJ35" i="5"/>
  <c r="AK35" i="5"/>
  <c r="AM35" i="5"/>
  <c r="X36" i="5"/>
  <c r="AD36" i="5"/>
  <c r="AG36" i="5"/>
  <c r="AH36" i="5"/>
  <c r="AI36" i="5"/>
  <c r="AJ36" i="5"/>
  <c r="AK36" i="5"/>
  <c r="AM36" i="5"/>
  <c r="X37" i="5"/>
  <c r="AL37" i="5" s="1"/>
  <c r="AX37" i="5" s="1"/>
  <c r="AD37" i="5"/>
  <c r="AG37" i="5"/>
  <c r="AH37" i="5"/>
  <c r="AI37" i="5"/>
  <c r="AJ37" i="5"/>
  <c r="AK37" i="5"/>
  <c r="AM37" i="5"/>
  <c r="AD38" i="5"/>
  <c r="AL38" i="5" s="1"/>
  <c r="AX38" i="5" s="1"/>
  <c r="AG38" i="5"/>
  <c r="AH38" i="5"/>
  <c r="AI38" i="5"/>
  <c r="AJ38" i="5"/>
  <c r="AK38" i="5"/>
  <c r="AM38" i="5"/>
  <c r="AD39" i="5"/>
  <c r="AG39" i="5"/>
  <c r="AH39" i="5"/>
  <c r="AI39" i="5"/>
  <c r="AJ39" i="5"/>
  <c r="AK39" i="5"/>
  <c r="AM39" i="5"/>
  <c r="AG40" i="5"/>
  <c r="AH40" i="5"/>
  <c r="AI40" i="5"/>
  <c r="AJ40" i="5"/>
  <c r="AK40" i="5"/>
  <c r="AM40" i="5"/>
  <c r="AH41" i="5"/>
  <c r="AI41" i="5"/>
  <c r="AJ41" i="5"/>
  <c r="AK41" i="5"/>
  <c r="AM41" i="5"/>
  <c r="AI42" i="5"/>
  <c r="AJ43" i="5"/>
  <c r="AL43" i="5" s="1"/>
  <c r="AX43" i="5" s="1"/>
  <c r="AK43" i="5"/>
  <c r="AM43" i="5"/>
  <c r="AD48" i="5"/>
  <c r="AG48" i="5"/>
  <c r="AH48" i="5"/>
  <c r="AI48" i="5"/>
  <c r="AJ48" i="5"/>
  <c r="AK48" i="5"/>
  <c r="AM48" i="5"/>
  <c r="G51" i="5"/>
  <c r="H51" i="5"/>
  <c r="I51" i="5"/>
  <c r="J51" i="5"/>
  <c r="K51" i="5"/>
  <c r="Q51" i="5"/>
  <c r="Q52" i="5" s="1"/>
  <c r="R51" i="5"/>
  <c r="R52" i="5" s="1"/>
  <c r="S51" i="5"/>
  <c r="S52" i="5" s="1"/>
  <c r="T51" i="5"/>
  <c r="T52" i="5" s="1"/>
  <c r="U51" i="5"/>
  <c r="U52" i="5" s="1"/>
  <c r="V51" i="5"/>
  <c r="V52" i="5" s="1"/>
  <c r="W51" i="5"/>
  <c r="W52" i="5" s="1"/>
  <c r="Y51" i="5"/>
  <c r="Y52" i="5" s="1"/>
  <c r="Z51" i="5"/>
  <c r="Z52" i="5" s="1"/>
  <c r="AA51" i="5"/>
  <c r="AA52" i="5" s="1"/>
  <c r="AB51" i="5"/>
  <c r="AB52" i="5" s="1"/>
  <c r="AC51" i="5"/>
  <c r="F6" i="3"/>
  <c r="F8" i="3"/>
  <c r="F10" i="3"/>
  <c r="F12" i="3"/>
  <c r="F14" i="3"/>
  <c r="F16" i="3"/>
  <c r="F18" i="3"/>
  <c r="F20" i="3"/>
  <c r="F22" i="3"/>
  <c r="F24" i="3"/>
  <c r="F26" i="3"/>
  <c r="F27" i="3"/>
  <c r="F28" i="3"/>
  <c r="G28" i="3"/>
  <c r="F29" i="3"/>
  <c r="F30" i="3"/>
  <c r="F31" i="3"/>
  <c r="F32" i="3"/>
  <c r="F33" i="3"/>
  <c r="F34" i="3"/>
  <c r="F35" i="3"/>
  <c r="F37" i="3"/>
  <c r="C41" i="3"/>
  <c r="D41" i="3"/>
  <c r="E41" i="3"/>
  <c r="G41" i="3"/>
  <c r="H41" i="3"/>
  <c r="I41" i="3"/>
  <c r="F6" i="2"/>
  <c r="F8" i="2"/>
  <c r="F10" i="2"/>
  <c r="F12" i="2"/>
  <c r="F13" i="2"/>
  <c r="F14" i="2"/>
  <c r="F16" i="2"/>
  <c r="F18" i="2"/>
  <c r="F20" i="2"/>
  <c r="F22" i="2"/>
  <c r="F24" i="2"/>
  <c r="F26" i="2"/>
  <c r="F27" i="2"/>
  <c r="G28" i="2"/>
  <c r="F29" i="2"/>
  <c r="F30" i="2"/>
  <c r="F31" i="2"/>
  <c r="F32" i="2"/>
  <c r="F33" i="2"/>
  <c r="F35" i="2"/>
  <c r="C39" i="2"/>
  <c r="D39" i="2"/>
  <c r="E39" i="2"/>
  <c r="G39" i="2"/>
  <c r="H39" i="2"/>
  <c r="I39" i="2"/>
  <c r="I4" i="6"/>
  <c r="E6" i="6"/>
  <c r="E8" i="6"/>
  <c r="I8" i="6" s="1"/>
  <c r="E10" i="6"/>
  <c r="I10" i="6" s="1"/>
  <c r="E11" i="6"/>
  <c r="I11" i="6" s="1"/>
  <c r="E12" i="6"/>
  <c r="I12" i="6" s="1"/>
  <c r="C13" i="6"/>
  <c r="D13" i="6"/>
  <c r="E15" i="6"/>
  <c r="I15" i="6" s="1"/>
  <c r="E17" i="6"/>
  <c r="I17" i="6" s="1"/>
  <c r="E19" i="6"/>
  <c r="I19" i="6" s="1"/>
  <c r="E20" i="6"/>
  <c r="C21" i="6"/>
  <c r="D21" i="6"/>
  <c r="E23" i="6"/>
  <c r="I22" i="6" s="1"/>
  <c r="E25" i="6"/>
  <c r="I24" i="6" s="1"/>
  <c r="E27" i="6"/>
  <c r="I26" i="6" s="1"/>
  <c r="E28" i="6"/>
  <c r="I27" i="6" s="1"/>
  <c r="C29" i="6"/>
  <c r="D29" i="6"/>
  <c r="F29" i="6"/>
  <c r="E31" i="6"/>
  <c r="I30" i="6" s="1"/>
  <c r="E32" i="6"/>
  <c r="I31" i="6" s="1"/>
  <c r="E33" i="6"/>
  <c r="I32" i="6" s="1"/>
  <c r="E34" i="6"/>
  <c r="I33" i="6" s="1"/>
  <c r="E35" i="6"/>
  <c r="I34" i="6" s="1"/>
  <c r="C36" i="6"/>
  <c r="D36" i="6"/>
  <c r="E38" i="6"/>
  <c r="I37" i="6" s="1"/>
  <c r="I38" i="6"/>
  <c r="I39" i="6"/>
  <c r="G4" i="7"/>
  <c r="H4" i="7" s="1"/>
  <c r="I4" i="7"/>
  <c r="M4" i="7"/>
  <c r="G5" i="7"/>
  <c r="I5" i="7"/>
  <c r="C6" i="7"/>
  <c r="D6" i="7"/>
  <c r="E6" i="7"/>
  <c r="F6" i="7"/>
  <c r="G8" i="7"/>
  <c r="I8" i="7"/>
  <c r="M8" i="7" s="1"/>
  <c r="G10" i="7"/>
  <c r="I10" i="7"/>
  <c r="M10" i="7" s="1"/>
  <c r="G11" i="7"/>
  <c r="H11" i="7" s="1"/>
  <c r="I11" i="7"/>
  <c r="M11" i="7" s="1"/>
  <c r="G12" i="7"/>
  <c r="I12" i="7"/>
  <c r="M12" i="7" s="1"/>
  <c r="C13" i="7"/>
  <c r="D13" i="7"/>
  <c r="E13" i="7"/>
  <c r="F13" i="7"/>
  <c r="G15" i="7"/>
  <c r="I15" i="7"/>
  <c r="M15" i="7" s="1"/>
  <c r="G17" i="7"/>
  <c r="I17" i="7"/>
  <c r="M17" i="7" s="1"/>
  <c r="G19" i="7"/>
  <c r="H19" i="7" s="1"/>
  <c r="I19" i="7"/>
  <c r="M19" i="7" s="1"/>
  <c r="G20" i="7"/>
  <c r="H20" i="7" s="1"/>
  <c r="I20" i="7"/>
  <c r="C21" i="7"/>
  <c r="D21" i="7"/>
  <c r="E21" i="7"/>
  <c r="G21" i="7" s="1"/>
  <c r="H21" i="7" s="1"/>
  <c r="F21" i="7"/>
  <c r="G23" i="7"/>
  <c r="H23" i="7" s="1"/>
  <c r="I23" i="7"/>
  <c r="M22" i="7" s="1"/>
  <c r="G25" i="7"/>
  <c r="H25" i="7" s="1"/>
  <c r="I25" i="7"/>
  <c r="M24" i="7" s="1"/>
  <c r="I27" i="7"/>
  <c r="M26" i="7" s="1"/>
  <c r="I28" i="7"/>
  <c r="M27" i="7" s="1"/>
  <c r="E29" i="7"/>
  <c r="G29" i="7" s="1"/>
  <c r="F29" i="7"/>
  <c r="J29" i="7"/>
  <c r="G31" i="7"/>
  <c r="H31" i="7" s="1"/>
  <c r="I31" i="7"/>
  <c r="G32" i="7"/>
  <c r="H32" i="7"/>
  <c r="I32" i="7"/>
  <c r="M31" i="7" s="1"/>
  <c r="G33" i="7"/>
  <c r="H33" i="7" s="1"/>
  <c r="I33" i="7"/>
  <c r="M32" i="7" s="1"/>
  <c r="G34" i="7"/>
  <c r="H34" i="7" s="1"/>
  <c r="I34" i="7"/>
  <c r="M33" i="7" s="1"/>
  <c r="G35" i="7"/>
  <c r="H35" i="7"/>
  <c r="I35" i="7"/>
  <c r="M34" i="7" s="1"/>
  <c r="C36" i="7"/>
  <c r="D36" i="7"/>
  <c r="E36" i="7"/>
  <c r="G36" i="7" s="1"/>
  <c r="H36" i="7" s="1"/>
  <c r="F36" i="7"/>
  <c r="G38" i="7"/>
  <c r="H38" i="7" s="1"/>
  <c r="I38" i="7"/>
  <c r="M37" i="7" s="1"/>
  <c r="M38" i="7"/>
  <c r="G4" i="8"/>
  <c r="H4" i="8" s="1"/>
  <c r="J4" i="8"/>
  <c r="N4" i="8"/>
  <c r="G5" i="8"/>
  <c r="J5" i="8"/>
  <c r="C6" i="8"/>
  <c r="D6" i="8"/>
  <c r="E6" i="8"/>
  <c r="F6" i="8"/>
  <c r="G8" i="8"/>
  <c r="J8" i="8"/>
  <c r="N8" i="8" s="1"/>
  <c r="G10" i="8"/>
  <c r="J10" i="8"/>
  <c r="N10" i="8" s="1"/>
  <c r="G11" i="8"/>
  <c r="H11" i="8" s="1"/>
  <c r="J11" i="8"/>
  <c r="N11" i="8" s="1"/>
  <c r="G12" i="8"/>
  <c r="J12" i="8"/>
  <c r="N12" i="8" s="1"/>
  <c r="C13" i="8"/>
  <c r="D13" i="8"/>
  <c r="E13" i="8"/>
  <c r="F13" i="8"/>
  <c r="G15" i="8"/>
  <c r="J15" i="8"/>
  <c r="N15" i="8" s="1"/>
  <c r="G17" i="8"/>
  <c r="J17" i="8"/>
  <c r="N17" i="8" s="1"/>
  <c r="G19" i="8"/>
  <c r="H19" i="8" s="1"/>
  <c r="J19" i="8"/>
  <c r="N19" i="8" s="1"/>
  <c r="G20" i="8"/>
  <c r="H20" i="8" s="1"/>
  <c r="J20" i="8"/>
  <c r="C21" i="8"/>
  <c r="D21" i="8"/>
  <c r="E21" i="8"/>
  <c r="F21" i="8"/>
  <c r="G23" i="8"/>
  <c r="H23" i="8" s="1"/>
  <c r="J23" i="8"/>
  <c r="N22" i="8" s="1"/>
  <c r="G25" i="8"/>
  <c r="H25" i="8" s="1"/>
  <c r="J25" i="8"/>
  <c r="N24" i="8" s="1"/>
  <c r="J27" i="8"/>
  <c r="N26" i="8" s="1"/>
  <c r="J28" i="8"/>
  <c r="N27" i="8" s="1"/>
  <c r="E29" i="8"/>
  <c r="G29" i="8" s="1"/>
  <c r="F29" i="8"/>
  <c r="K29" i="8"/>
  <c r="G31" i="8"/>
  <c r="H31" i="8" s="1"/>
  <c r="J31" i="8"/>
  <c r="N30" i="8" s="1"/>
  <c r="G32" i="8"/>
  <c r="H32" i="8" s="1"/>
  <c r="J32" i="8"/>
  <c r="N31" i="8" s="1"/>
  <c r="G33" i="8"/>
  <c r="H33" i="8" s="1"/>
  <c r="J33" i="8"/>
  <c r="N32" i="8" s="1"/>
  <c r="G34" i="8"/>
  <c r="H34" i="8" s="1"/>
  <c r="J34" i="8"/>
  <c r="N33" i="8" s="1"/>
  <c r="G35" i="8"/>
  <c r="H35" i="8" s="1"/>
  <c r="J35" i="8"/>
  <c r="N34" i="8" s="1"/>
  <c r="G36" i="8"/>
  <c r="C37" i="8"/>
  <c r="D37" i="8"/>
  <c r="E37" i="8"/>
  <c r="F37" i="8"/>
  <c r="G39" i="8"/>
  <c r="H39" i="8" s="1"/>
  <c r="J39" i="8"/>
  <c r="N38" i="8" s="1"/>
  <c r="N39" i="8"/>
  <c r="C40" i="8"/>
  <c r="F4" i="9"/>
  <c r="H4" i="9"/>
  <c r="L4" i="9"/>
  <c r="F5" i="9"/>
  <c r="H5" i="9"/>
  <c r="C6" i="9"/>
  <c r="D6" i="9"/>
  <c r="E6" i="9"/>
  <c r="H8" i="9"/>
  <c r="L8" i="9" s="1"/>
  <c r="H10" i="9"/>
  <c r="L10" i="9" s="1"/>
  <c r="H11" i="9"/>
  <c r="L11" i="9" s="1"/>
  <c r="H12" i="9"/>
  <c r="L12" i="9" s="1"/>
  <c r="C13" i="9"/>
  <c r="AF51" i="5" s="1"/>
  <c r="AF57" i="5" s="1"/>
  <c r="AF58" i="5" s="1"/>
  <c r="D13" i="9"/>
  <c r="E13" i="9"/>
  <c r="H15" i="9"/>
  <c r="L15" i="9" s="1"/>
  <c r="H17" i="9"/>
  <c r="L17" i="9" s="1"/>
  <c r="F19" i="9"/>
  <c r="H19" i="9"/>
  <c r="F20" i="9"/>
  <c r="H20" i="9"/>
  <c r="C21" i="9"/>
  <c r="D21" i="9"/>
  <c r="E21" i="9"/>
  <c r="F23" i="9"/>
  <c r="H23" i="9"/>
  <c r="L22" i="9" s="1"/>
  <c r="F25" i="9"/>
  <c r="H25" i="9"/>
  <c r="L24" i="9" s="1"/>
  <c r="H27" i="9"/>
  <c r="L26" i="9" s="1"/>
  <c r="H28" i="9"/>
  <c r="L27" i="9" s="1"/>
  <c r="E29" i="9"/>
  <c r="I29" i="9"/>
  <c r="F31" i="9"/>
  <c r="H31" i="9"/>
  <c r="F32" i="9"/>
  <c r="H32" i="9"/>
  <c r="L31" i="9" s="1"/>
  <c r="F33" i="9"/>
  <c r="H33" i="9"/>
  <c r="L32" i="9" s="1"/>
  <c r="F34" i="9"/>
  <c r="H34" i="9"/>
  <c r="L33" i="9" s="1"/>
  <c r="F35" i="9"/>
  <c r="H35" i="9"/>
  <c r="L34" i="9" s="1"/>
  <c r="F36" i="9"/>
  <c r="H36" i="9"/>
  <c r="C37" i="9"/>
  <c r="D37" i="9"/>
  <c r="E37" i="9"/>
  <c r="F39" i="9"/>
  <c r="H39" i="9"/>
  <c r="L38" i="9" s="1"/>
  <c r="L39" i="9"/>
  <c r="I4" i="11"/>
  <c r="M4" i="11"/>
  <c r="G5" i="11"/>
  <c r="I5" i="11"/>
  <c r="C6" i="11"/>
  <c r="D6" i="11"/>
  <c r="D38" i="11" s="1"/>
  <c r="E6" i="11"/>
  <c r="F6" i="11"/>
  <c r="I8" i="11"/>
  <c r="M8" i="11" s="1"/>
  <c r="I10" i="11"/>
  <c r="I11" i="11"/>
  <c r="M11" i="11" s="1"/>
  <c r="I12" i="11"/>
  <c r="M12" i="11" s="1"/>
  <c r="C13" i="11"/>
  <c r="D13" i="11"/>
  <c r="E13" i="11"/>
  <c r="F13" i="11"/>
  <c r="I15" i="11"/>
  <c r="M15" i="11" s="1"/>
  <c r="G17" i="11"/>
  <c r="I17" i="11"/>
  <c r="M17" i="11" s="1"/>
  <c r="G18" i="11"/>
  <c r="I18" i="11"/>
  <c r="C19" i="11"/>
  <c r="D19" i="11"/>
  <c r="E19" i="11"/>
  <c r="F19" i="11"/>
  <c r="G21" i="11"/>
  <c r="I21" i="11"/>
  <c r="M20" i="11" s="1"/>
  <c r="P21" i="11"/>
  <c r="G23" i="11"/>
  <c r="I23" i="11"/>
  <c r="M22" i="11" s="1"/>
  <c r="I25" i="11"/>
  <c r="M24" i="11" s="1"/>
  <c r="I26" i="11"/>
  <c r="M25" i="11" s="1"/>
  <c r="C27" i="11"/>
  <c r="D27" i="11"/>
  <c r="E27" i="11"/>
  <c r="F27" i="11"/>
  <c r="J27" i="11"/>
  <c r="G29" i="11"/>
  <c r="I29" i="11"/>
  <c r="M28" i="11" s="1"/>
  <c r="G30" i="11"/>
  <c r="I30" i="11"/>
  <c r="M29" i="11" s="1"/>
  <c r="G31" i="11"/>
  <c r="I31" i="11"/>
  <c r="M30" i="11" s="1"/>
  <c r="G32" i="11"/>
  <c r="I32" i="11"/>
  <c r="M31" i="11" s="1"/>
  <c r="G33" i="11"/>
  <c r="I33" i="11"/>
  <c r="M32" i="11" s="1"/>
  <c r="I34" i="11"/>
  <c r="C35" i="11"/>
  <c r="D35" i="11"/>
  <c r="E35" i="11"/>
  <c r="F35" i="11"/>
  <c r="G37" i="11"/>
  <c r="I37" i="11"/>
  <c r="M36" i="11" s="1"/>
  <c r="M37" i="11"/>
  <c r="J4" i="12"/>
  <c r="J6" i="12" s="1"/>
  <c r="N4" i="12"/>
  <c r="Q4" i="12"/>
  <c r="H5" i="12"/>
  <c r="J5" i="12"/>
  <c r="N5" i="12"/>
  <c r="Q5" i="12"/>
  <c r="D6" i="12"/>
  <c r="E6" i="12"/>
  <c r="F6" i="12"/>
  <c r="G6" i="12"/>
  <c r="M6" i="12"/>
  <c r="P6" i="12"/>
  <c r="J8" i="12"/>
  <c r="N8" i="12"/>
  <c r="Q8" i="12"/>
  <c r="J10" i="12"/>
  <c r="N10" i="12"/>
  <c r="Q10" i="12"/>
  <c r="J11" i="12"/>
  <c r="N11" i="12"/>
  <c r="Q11" i="12"/>
  <c r="J12" i="12"/>
  <c r="N12" i="12"/>
  <c r="Q12" i="12"/>
  <c r="D13" i="12"/>
  <c r="E13" i="12"/>
  <c r="F13" i="12"/>
  <c r="G13" i="12"/>
  <c r="H13" i="12"/>
  <c r="M13" i="12"/>
  <c r="P13" i="12"/>
  <c r="J15" i="12"/>
  <c r="N15" i="12"/>
  <c r="Q15" i="12"/>
  <c r="H17" i="12"/>
  <c r="J17" i="12"/>
  <c r="N17" i="12"/>
  <c r="Q17" i="12"/>
  <c r="H18" i="12"/>
  <c r="J18" i="12"/>
  <c r="J19" i="12" s="1"/>
  <c r="N18" i="12"/>
  <c r="Q18" i="12"/>
  <c r="D19" i="12"/>
  <c r="E19" i="12"/>
  <c r="F19" i="12"/>
  <c r="G19" i="12"/>
  <c r="G39" i="12" s="1"/>
  <c r="M19" i="12"/>
  <c r="P19" i="12"/>
  <c r="H21" i="12"/>
  <c r="J21" i="12"/>
  <c r="N21" i="12"/>
  <c r="Q21" i="12"/>
  <c r="H23" i="12"/>
  <c r="J23" i="12"/>
  <c r="N23" i="12"/>
  <c r="Q23" i="12"/>
  <c r="J25" i="12"/>
  <c r="N25" i="12"/>
  <c r="Q25" i="12"/>
  <c r="J26" i="12"/>
  <c r="N26" i="12"/>
  <c r="Q26" i="12"/>
  <c r="D27" i="12"/>
  <c r="E27" i="12"/>
  <c r="F27" i="12"/>
  <c r="G27" i="12"/>
  <c r="M27" i="12"/>
  <c r="P27" i="12"/>
  <c r="H29" i="12"/>
  <c r="J29" i="12"/>
  <c r="N29" i="12"/>
  <c r="Q29" i="12"/>
  <c r="H30" i="12"/>
  <c r="J30" i="12"/>
  <c r="N30" i="12"/>
  <c r="Q30" i="12"/>
  <c r="H31" i="12"/>
  <c r="J31" i="12"/>
  <c r="N31" i="12"/>
  <c r="Q31" i="12"/>
  <c r="H32" i="12"/>
  <c r="J32" i="12"/>
  <c r="N32" i="12"/>
  <c r="Q32" i="12"/>
  <c r="H33" i="12"/>
  <c r="J33" i="12"/>
  <c r="N33" i="12"/>
  <c r="Q33" i="12"/>
  <c r="J34" i="12"/>
  <c r="N34" i="12"/>
  <c r="Q34" i="12"/>
  <c r="H35" i="12"/>
  <c r="J35" i="12"/>
  <c r="N35" i="12"/>
  <c r="Q35" i="12"/>
  <c r="D36" i="12"/>
  <c r="E36" i="12"/>
  <c r="F36" i="12"/>
  <c r="G36" i="12"/>
  <c r="M36" i="12"/>
  <c r="P36" i="12"/>
  <c r="N37" i="12"/>
  <c r="H38" i="12"/>
  <c r="J38" i="12"/>
  <c r="N38" i="12"/>
  <c r="Q38" i="12"/>
  <c r="J4" i="13"/>
  <c r="N4" i="13"/>
  <c r="Q4" i="13"/>
  <c r="H5" i="13"/>
  <c r="J5" i="13"/>
  <c r="M5" i="13"/>
  <c r="N5" i="13" s="1"/>
  <c r="Q5" i="13"/>
  <c r="D6" i="13"/>
  <c r="E6" i="13"/>
  <c r="F6" i="13"/>
  <c r="G6" i="13"/>
  <c r="P6" i="13"/>
  <c r="J8" i="13"/>
  <c r="N8" i="13"/>
  <c r="Q8" i="13"/>
  <c r="J10" i="13"/>
  <c r="N10" i="13"/>
  <c r="Q10" i="13"/>
  <c r="J11" i="13"/>
  <c r="N11" i="13"/>
  <c r="Q11" i="13"/>
  <c r="J12" i="13"/>
  <c r="N12" i="13"/>
  <c r="Q12" i="13"/>
  <c r="D13" i="13"/>
  <c r="E13" i="13"/>
  <c r="F13" i="13"/>
  <c r="G13" i="13"/>
  <c r="H13" i="13"/>
  <c r="M13" i="13"/>
  <c r="P13" i="13"/>
  <c r="J15" i="13"/>
  <c r="N15" i="13"/>
  <c r="Q15" i="13"/>
  <c r="H17" i="13"/>
  <c r="J17" i="13"/>
  <c r="M17" i="13"/>
  <c r="N17" i="13" s="1"/>
  <c r="Q17" i="13"/>
  <c r="H18" i="13"/>
  <c r="J18" i="13"/>
  <c r="M18" i="13"/>
  <c r="N18" i="13" s="1"/>
  <c r="Q18" i="13"/>
  <c r="D19" i="13"/>
  <c r="E19" i="13"/>
  <c r="F19" i="13"/>
  <c r="G19" i="13"/>
  <c r="P19" i="13"/>
  <c r="H21" i="13"/>
  <c r="J21" i="13"/>
  <c r="M21" i="13"/>
  <c r="N21" i="13" s="1"/>
  <c r="Q21" i="13"/>
  <c r="R21" i="13" s="1"/>
  <c r="H23" i="13"/>
  <c r="J23" i="13"/>
  <c r="M23" i="13"/>
  <c r="N23" i="13" s="1"/>
  <c r="Q23" i="13"/>
  <c r="H24" i="13"/>
  <c r="J24" i="13"/>
  <c r="N24" i="13"/>
  <c r="Q24" i="13"/>
  <c r="R24" i="13" s="1"/>
  <c r="D25" i="13"/>
  <c r="E25" i="13"/>
  <c r="F25" i="13"/>
  <c r="G25" i="13"/>
  <c r="P25" i="13"/>
  <c r="J27" i="13"/>
  <c r="N27" i="13"/>
  <c r="Q27" i="13"/>
  <c r="J28" i="13"/>
  <c r="N28" i="13"/>
  <c r="Q28" i="13"/>
  <c r="D29" i="13"/>
  <c r="E29" i="13"/>
  <c r="F29" i="13"/>
  <c r="G29" i="13"/>
  <c r="M29" i="13"/>
  <c r="P29" i="13"/>
  <c r="H31" i="13"/>
  <c r="J31" i="13"/>
  <c r="M31" i="13"/>
  <c r="N31" i="13" s="1"/>
  <c r="Q31" i="13"/>
  <c r="H32" i="13"/>
  <c r="J32" i="13"/>
  <c r="M32" i="13"/>
  <c r="N32" i="13" s="1"/>
  <c r="Q32" i="13"/>
  <c r="H33" i="13"/>
  <c r="J33" i="13"/>
  <c r="M33" i="13"/>
  <c r="N33" i="13" s="1"/>
  <c r="Q33" i="13"/>
  <c r="H34" i="13"/>
  <c r="J34" i="13"/>
  <c r="M34" i="13"/>
  <c r="N34" i="13" s="1"/>
  <c r="Q34" i="13"/>
  <c r="H35" i="13"/>
  <c r="J35" i="13"/>
  <c r="M35" i="13"/>
  <c r="N35" i="13" s="1"/>
  <c r="Q35" i="13"/>
  <c r="J36" i="13"/>
  <c r="N36" i="13"/>
  <c r="Q36" i="13"/>
  <c r="H37" i="13"/>
  <c r="J37" i="13"/>
  <c r="M37" i="13"/>
  <c r="N37" i="13" s="1"/>
  <c r="Q37" i="13"/>
  <c r="J38" i="13"/>
  <c r="N38" i="13"/>
  <c r="Q38" i="13"/>
  <c r="D39" i="13"/>
  <c r="H39" i="13" s="1"/>
  <c r="E39" i="13"/>
  <c r="F39" i="13"/>
  <c r="G39" i="13"/>
  <c r="P39" i="13"/>
  <c r="N40" i="13"/>
  <c r="H41" i="13"/>
  <c r="J41" i="13"/>
  <c r="M41" i="13"/>
  <c r="N41" i="13" s="1"/>
  <c r="Q41" i="13"/>
  <c r="R41" i="13" s="1"/>
  <c r="J4" i="14"/>
  <c r="J6" i="14" s="1"/>
  <c r="N4" i="14"/>
  <c r="Q4" i="14"/>
  <c r="H5" i="14"/>
  <c r="J5" i="14"/>
  <c r="N5" i="14"/>
  <c r="Q5" i="14"/>
  <c r="D6" i="14"/>
  <c r="E6" i="14"/>
  <c r="F6" i="14"/>
  <c r="G6" i="14"/>
  <c r="M6" i="14"/>
  <c r="P6" i="14"/>
  <c r="J8" i="14"/>
  <c r="N8" i="14"/>
  <c r="Q8" i="14"/>
  <c r="J10" i="14"/>
  <c r="N10" i="14"/>
  <c r="Q10" i="14"/>
  <c r="J11" i="14"/>
  <c r="N11" i="14"/>
  <c r="Q11" i="14"/>
  <c r="J12" i="14"/>
  <c r="N12" i="14"/>
  <c r="Q12" i="14"/>
  <c r="D13" i="14"/>
  <c r="E13" i="14"/>
  <c r="F13" i="14"/>
  <c r="G13" i="14"/>
  <c r="H13" i="14"/>
  <c r="M13" i="14"/>
  <c r="P13" i="14"/>
  <c r="J15" i="14"/>
  <c r="N15" i="14"/>
  <c r="Q15" i="14"/>
  <c r="H17" i="14"/>
  <c r="J17" i="14"/>
  <c r="N17" i="14"/>
  <c r="Q17" i="14"/>
  <c r="H18" i="14"/>
  <c r="J18" i="14"/>
  <c r="J19" i="14" s="1"/>
  <c r="N18" i="14"/>
  <c r="Q18" i="14"/>
  <c r="D19" i="14"/>
  <c r="E19" i="14"/>
  <c r="F19" i="14"/>
  <c r="G19" i="14"/>
  <c r="H19" i="14" s="1"/>
  <c r="M19" i="14"/>
  <c r="P19" i="14"/>
  <c r="H21" i="14"/>
  <c r="J21" i="14"/>
  <c r="N21" i="14"/>
  <c r="Q21" i="14"/>
  <c r="H23" i="14"/>
  <c r="J23" i="14"/>
  <c r="N23" i="14"/>
  <c r="Q23" i="14"/>
  <c r="H24" i="14"/>
  <c r="J24" i="14"/>
  <c r="N24" i="14"/>
  <c r="Q24" i="14"/>
  <c r="D25" i="14"/>
  <c r="E25" i="14"/>
  <c r="F25" i="14"/>
  <c r="G25" i="14"/>
  <c r="H25" i="14"/>
  <c r="J25" i="14"/>
  <c r="M25" i="14"/>
  <c r="P25" i="14"/>
  <c r="J27" i="14"/>
  <c r="N27" i="14"/>
  <c r="Q27" i="14"/>
  <c r="J28" i="14"/>
  <c r="N28" i="14"/>
  <c r="Q28" i="14"/>
  <c r="D29" i="14"/>
  <c r="E29" i="14"/>
  <c r="F29" i="14"/>
  <c r="G29" i="14"/>
  <c r="M29" i="14"/>
  <c r="N29" i="14" s="1"/>
  <c r="P29" i="14"/>
  <c r="H31" i="14"/>
  <c r="J31" i="14"/>
  <c r="N31" i="14"/>
  <c r="Q31" i="14"/>
  <c r="H32" i="14"/>
  <c r="J32" i="14"/>
  <c r="N32" i="14"/>
  <c r="Q32" i="14"/>
  <c r="H33" i="14"/>
  <c r="J33" i="14"/>
  <c r="N33" i="14"/>
  <c r="Q33" i="14"/>
  <c r="H34" i="14"/>
  <c r="J34" i="14"/>
  <c r="N34" i="14"/>
  <c r="Q34" i="14"/>
  <c r="H35" i="14"/>
  <c r="J35" i="14"/>
  <c r="N35" i="14"/>
  <c r="Q35" i="14"/>
  <c r="J36" i="14"/>
  <c r="N36" i="14"/>
  <c r="Q36" i="14"/>
  <c r="H37" i="14"/>
  <c r="J37" i="14"/>
  <c r="N37" i="14"/>
  <c r="Q37" i="14"/>
  <c r="J38" i="14"/>
  <c r="N38" i="14"/>
  <c r="Q38" i="14"/>
  <c r="H39" i="14"/>
  <c r="J39" i="14"/>
  <c r="N39" i="14"/>
  <c r="Q39" i="14"/>
  <c r="D40" i="14"/>
  <c r="E40" i="14"/>
  <c r="F40" i="14"/>
  <c r="G40" i="14"/>
  <c r="M40" i="14"/>
  <c r="P40" i="14"/>
  <c r="H42" i="14"/>
  <c r="J42" i="14"/>
  <c r="N42" i="14"/>
  <c r="Q42" i="14"/>
  <c r="J4" i="15"/>
  <c r="M4" i="15"/>
  <c r="N4" i="15" s="1"/>
  <c r="Q4" i="15"/>
  <c r="J6" i="15"/>
  <c r="M6" i="15"/>
  <c r="N6" i="15" s="1"/>
  <c r="Q6" i="15"/>
  <c r="J8" i="15"/>
  <c r="M8" i="15"/>
  <c r="N8" i="15" s="1"/>
  <c r="Q8" i="15"/>
  <c r="J9" i="15"/>
  <c r="M9" i="15"/>
  <c r="N9" i="15" s="1"/>
  <c r="Q9" i="15"/>
  <c r="J10" i="15"/>
  <c r="M10" i="15"/>
  <c r="N10" i="15" s="1"/>
  <c r="Q10" i="15"/>
  <c r="D11" i="15"/>
  <c r="E11" i="15"/>
  <c r="F11" i="15"/>
  <c r="G11" i="15"/>
  <c r="H11" i="15"/>
  <c r="P11" i="15"/>
  <c r="J13" i="15"/>
  <c r="M13" i="15"/>
  <c r="N13" i="15" s="1"/>
  <c r="Q13" i="15"/>
  <c r="H15" i="15"/>
  <c r="J15" i="15"/>
  <c r="M15" i="15"/>
  <c r="N15" i="15" s="1"/>
  <c r="Q15" i="15"/>
  <c r="H16" i="15"/>
  <c r="J16" i="15"/>
  <c r="M16" i="15"/>
  <c r="N16" i="15" s="1"/>
  <c r="Q16" i="15"/>
  <c r="D17" i="15"/>
  <c r="E17" i="15"/>
  <c r="F17" i="15"/>
  <c r="G17" i="15"/>
  <c r="P17" i="15"/>
  <c r="H19" i="15"/>
  <c r="J19" i="15"/>
  <c r="M19" i="15"/>
  <c r="N19" i="15" s="1"/>
  <c r="Q19" i="15"/>
  <c r="H21" i="15"/>
  <c r="J21" i="15"/>
  <c r="M21" i="15"/>
  <c r="N21" i="15" s="1"/>
  <c r="Q21" i="15"/>
  <c r="H22" i="15"/>
  <c r="J22" i="15"/>
  <c r="M22" i="15"/>
  <c r="Q22" i="15"/>
  <c r="D23" i="15"/>
  <c r="E23" i="15"/>
  <c r="F23" i="15"/>
  <c r="G23" i="15"/>
  <c r="P23" i="15"/>
  <c r="J25" i="15"/>
  <c r="N25" i="15"/>
  <c r="Q25" i="15"/>
  <c r="J26" i="15"/>
  <c r="N26" i="15"/>
  <c r="Q26" i="15"/>
  <c r="D27" i="15"/>
  <c r="E27" i="15"/>
  <c r="F27" i="15"/>
  <c r="G27" i="15"/>
  <c r="M27" i="15"/>
  <c r="P27" i="15"/>
  <c r="H29" i="15"/>
  <c r="J29" i="15"/>
  <c r="M29" i="15"/>
  <c r="N29" i="15" s="1"/>
  <c r="Q29" i="15"/>
  <c r="H30" i="15"/>
  <c r="J30" i="15"/>
  <c r="M30" i="15"/>
  <c r="N30" i="15" s="1"/>
  <c r="Q30" i="15"/>
  <c r="H31" i="15"/>
  <c r="J31" i="15"/>
  <c r="M31" i="15"/>
  <c r="N31" i="15" s="1"/>
  <c r="Q31" i="15"/>
  <c r="H32" i="15"/>
  <c r="J32" i="15"/>
  <c r="M32" i="15"/>
  <c r="N32" i="15" s="1"/>
  <c r="Q32" i="15"/>
  <c r="H33" i="15"/>
  <c r="J33" i="15"/>
  <c r="M33" i="15"/>
  <c r="N33" i="15" s="1"/>
  <c r="Q33" i="15"/>
  <c r="H34" i="15"/>
  <c r="J34" i="15"/>
  <c r="M34" i="15"/>
  <c r="N34" i="15" s="1"/>
  <c r="Q34" i="15"/>
  <c r="J35" i="15"/>
  <c r="M35" i="15"/>
  <c r="N35" i="15" s="1"/>
  <c r="Q35" i="15"/>
  <c r="H36" i="15"/>
  <c r="J36" i="15"/>
  <c r="M36" i="15"/>
  <c r="N36" i="15" s="1"/>
  <c r="Q36" i="15"/>
  <c r="J37" i="15"/>
  <c r="M37" i="15"/>
  <c r="N37" i="15" s="1"/>
  <c r="Q37" i="15"/>
  <c r="H38" i="15"/>
  <c r="J38" i="15"/>
  <c r="M38" i="15"/>
  <c r="N38" i="15" s="1"/>
  <c r="Q38" i="15"/>
  <c r="J39" i="15"/>
  <c r="N39" i="15"/>
  <c r="Q39" i="15"/>
  <c r="D40" i="15"/>
  <c r="E40" i="15"/>
  <c r="F40" i="15"/>
  <c r="G40" i="15"/>
  <c r="P40" i="15"/>
  <c r="H42" i="15"/>
  <c r="J42" i="15"/>
  <c r="M42" i="15"/>
  <c r="N42" i="15" s="1"/>
  <c r="Q42" i="15"/>
  <c r="J4" i="16"/>
  <c r="M4" i="16"/>
  <c r="N4" i="16" s="1"/>
  <c r="Q4" i="16"/>
  <c r="J6" i="16"/>
  <c r="M6" i="16"/>
  <c r="N6" i="16" s="1"/>
  <c r="Q6" i="16"/>
  <c r="J8" i="16"/>
  <c r="M8" i="16"/>
  <c r="N8" i="16" s="1"/>
  <c r="Q8" i="16"/>
  <c r="J9" i="16"/>
  <c r="M9" i="16"/>
  <c r="N9" i="16" s="1"/>
  <c r="Q9" i="16"/>
  <c r="J10" i="16"/>
  <c r="M10" i="16"/>
  <c r="N10" i="16" s="1"/>
  <c r="Q10" i="16"/>
  <c r="D11" i="16"/>
  <c r="E11" i="16"/>
  <c r="F11" i="16"/>
  <c r="G11" i="16"/>
  <c r="H11" i="16"/>
  <c r="P11" i="16"/>
  <c r="J13" i="16"/>
  <c r="M13" i="16"/>
  <c r="N13" i="16" s="1"/>
  <c r="Q13" i="16"/>
  <c r="H15" i="16"/>
  <c r="J15" i="16"/>
  <c r="N15" i="16"/>
  <c r="Q15" i="16"/>
  <c r="H16" i="16"/>
  <c r="J16" i="16"/>
  <c r="N16" i="16"/>
  <c r="Q16" i="16"/>
  <c r="D17" i="16"/>
  <c r="E17" i="16"/>
  <c r="F17" i="16"/>
  <c r="G17" i="16"/>
  <c r="M17" i="16"/>
  <c r="M51" i="16" s="1"/>
  <c r="P17" i="16"/>
  <c r="H19" i="16"/>
  <c r="J19" i="16"/>
  <c r="N19" i="16"/>
  <c r="Q19" i="16"/>
  <c r="J20" i="16"/>
  <c r="Q20" i="16"/>
  <c r="D21" i="16"/>
  <c r="E21" i="16"/>
  <c r="P21" i="16" s="1"/>
  <c r="F21" i="16"/>
  <c r="G21" i="16"/>
  <c r="H21" i="16" s="1"/>
  <c r="H23" i="16"/>
  <c r="H25" i="16" s="1"/>
  <c r="J23" i="16"/>
  <c r="J25" i="16" s="1"/>
  <c r="N23" i="16"/>
  <c r="Q23" i="16"/>
  <c r="H24" i="16"/>
  <c r="J24" i="16"/>
  <c r="N24" i="16"/>
  <c r="Q24" i="16"/>
  <c r="D25" i="16"/>
  <c r="E25" i="16"/>
  <c r="F25" i="16"/>
  <c r="G25" i="16"/>
  <c r="M25" i="16"/>
  <c r="P25" i="16"/>
  <c r="J27" i="16"/>
  <c r="N27" i="16"/>
  <c r="Q27" i="16"/>
  <c r="J28" i="16"/>
  <c r="N28" i="16"/>
  <c r="Q28" i="16"/>
  <c r="D29" i="16"/>
  <c r="N29" i="16" s="1"/>
  <c r="E29" i="16"/>
  <c r="F29" i="16"/>
  <c r="G29" i="16"/>
  <c r="M29" i="16"/>
  <c r="P29" i="16"/>
  <c r="H31" i="16"/>
  <c r="J31" i="16"/>
  <c r="N31" i="16"/>
  <c r="Q31" i="16"/>
  <c r="H32" i="16"/>
  <c r="J32" i="16"/>
  <c r="N32" i="16"/>
  <c r="Q32" i="16"/>
  <c r="H33" i="16"/>
  <c r="J33" i="16"/>
  <c r="N33" i="16"/>
  <c r="Q33" i="16"/>
  <c r="H34" i="16"/>
  <c r="J34" i="16"/>
  <c r="N34" i="16"/>
  <c r="Q34" i="16"/>
  <c r="H35" i="16"/>
  <c r="J35" i="16"/>
  <c r="N35" i="16"/>
  <c r="Q35" i="16"/>
  <c r="H36" i="16"/>
  <c r="J36" i="16"/>
  <c r="N36" i="16"/>
  <c r="Q36" i="16"/>
  <c r="J37" i="16"/>
  <c r="N37" i="16"/>
  <c r="Q37" i="16"/>
  <c r="H38" i="16"/>
  <c r="J38" i="16"/>
  <c r="N38" i="16"/>
  <c r="Q38" i="16"/>
  <c r="J39" i="16"/>
  <c r="N39" i="16"/>
  <c r="Q39" i="16"/>
  <c r="H40" i="16"/>
  <c r="J40" i="16"/>
  <c r="N40" i="16"/>
  <c r="Q40" i="16"/>
  <c r="H41" i="16"/>
  <c r="J41" i="16"/>
  <c r="N41" i="16"/>
  <c r="Q41" i="16"/>
  <c r="D42" i="16"/>
  <c r="E42" i="16"/>
  <c r="F42" i="16"/>
  <c r="G42" i="16"/>
  <c r="M42" i="16"/>
  <c r="P42" i="16"/>
  <c r="H44" i="16"/>
  <c r="J44" i="16"/>
  <c r="N44" i="16"/>
  <c r="Q44" i="16"/>
  <c r="Q9" i="4"/>
  <c r="AB9" i="4" s="1"/>
  <c r="AX9" i="4"/>
  <c r="AY9" i="4"/>
  <c r="AZ9" i="4" s="1"/>
  <c r="Q11" i="4"/>
  <c r="AB11" i="4" s="1"/>
  <c r="AX11" i="4"/>
  <c r="AY11" i="4"/>
  <c r="AZ11" i="4" s="1"/>
  <c r="Q13" i="4"/>
  <c r="AB13" i="4" s="1"/>
  <c r="AX13" i="4"/>
  <c r="AY13" i="4"/>
  <c r="AZ13" i="4"/>
  <c r="BA13" i="4" s="1"/>
  <c r="Q14" i="4"/>
  <c r="AB14" i="4" s="1"/>
  <c r="AX14" i="4"/>
  <c r="AY14" i="4"/>
  <c r="AZ14" i="4"/>
  <c r="BA14" i="4" s="1"/>
  <c r="Q15" i="4"/>
  <c r="AB15" i="4" s="1"/>
  <c r="AX15" i="4"/>
  <c r="AY15" i="4"/>
  <c r="AZ15" i="4" s="1"/>
  <c r="Q17" i="4"/>
  <c r="AB17" i="4" s="1"/>
  <c r="AX17" i="4"/>
  <c r="AY17" i="4"/>
  <c r="AZ17" i="4" s="1"/>
  <c r="Q19" i="4"/>
  <c r="AB19" i="4" s="1"/>
  <c r="AX19" i="4"/>
  <c r="AY19" i="4"/>
  <c r="AZ19" i="4" s="1"/>
  <c r="Q21" i="4"/>
  <c r="AB21" i="4" s="1"/>
  <c r="AX21" i="4"/>
  <c r="AY21" i="4"/>
  <c r="AZ21" i="4" s="1"/>
  <c r="Q23" i="4"/>
  <c r="AB23" i="4" s="1"/>
  <c r="AX23" i="4"/>
  <c r="AY23" i="4"/>
  <c r="AZ23" i="4" s="1"/>
  <c r="BA23" i="4" s="1"/>
  <c r="Q25" i="4"/>
  <c r="AB25" i="4" s="1"/>
  <c r="AX25" i="4"/>
  <c r="AY25" i="4"/>
  <c r="AZ25" i="4" s="1"/>
  <c r="Q27" i="4"/>
  <c r="AB27" i="4" s="1"/>
  <c r="AX27" i="4"/>
  <c r="AY27" i="4"/>
  <c r="AZ27" i="4" s="1"/>
  <c r="Q28" i="4"/>
  <c r="AB28" i="4" s="1"/>
  <c r="AX28" i="4"/>
  <c r="AY28" i="4"/>
  <c r="AZ28" i="4" s="1"/>
  <c r="Q30" i="4"/>
  <c r="Y30" i="4"/>
  <c r="AX30" i="4"/>
  <c r="AY30" i="4"/>
  <c r="AZ30" i="4" s="1"/>
  <c r="Q31" i="4"/>
  <c r="AB31" i="4" s="1"/>
  <c r="AX31" i="4"/>
  <c r="AY31" i="4"/>
  <c r="AZ31" i="4" s="1"/>
  <c r="BA31" i="4" s="1"/>
  <c r="Q32" i="4"/>
  <c r="Y32" i="4"/>
  <c r="AX32" i="4"/>
  <c r="AY32" i="4"/>
  <c r="AZ32" i="4" s="1"/>
  <c r="BA32" i="4" s="1"/>
  <c r="Q33" i="4"/>
  <c r="Y33" i="4"/>
  <c r="AX33" i="4"/>
  <c r="AY33" i="4"/>
  <c r="AZ33" i="4" s="1"/>
  <c r="Q34" i="4"/>
  <c r="AB34" i="4" s="1"/>
  <c r="AX34" i="4"/>
  <c r="AY34" i="4"/>
  <c r="AZ34" i="4"/>
  <c r="Q36" i="4"/>
  <c r="AB36" i="4" s="1"/>
  <c r="AX36" i="4"/>
  <c r="AY36" i="4"/>
  <c r="AZ36" i="4" s="1"/>
  <c r="Q38" i="4"/>
  <c r="AB38" i="4" s="1"/>
  <c r="AX38" i="4"/>
  <c r="AY38" i="4"/>
  <c r="AZ38" i="4" s="1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R40" i="4"/>
  <c r="R41" i="4" s="1"/>
  <c r="S40" i="4"/>
  <c r="S41" i="4" s="1"/>
  <c r="T40" i="4"/>
  <c r="U40" i="4"/>
  <c r="U41" i="4" s="1"/>
  <c r="V40" i="4"/>
  <c r="V41" i="4" s="1"/>
  <c r="W40" i="4"/>
  <c r="W41" i="4" s="1"/>
  <c r="X40" i="4"/>
  <c r="X41" i="4" s="1"/>
  <c r="Z40" i="4"/>
  <c r="Z41" i="4" s="1"/>
  <c r="AA40" i="4"/>
  <c r="AC40" i="4"/>
  <c r="AD40" i="4"/>
  <c r="T41" i="4"/>
  <c r="J6" i="13"/>
  <c r="H36" i="12"/>
  <c r="F21" i="9"/>
  <c r="M19" i="13"/>
  <c r="E21" i="6"/>
  <c r="AL36" i="5" l="1"/>
  <c r="AX36" i="5" s="1"/>
  <c r="AL24" i="5"/>
  <c r="AX24" i="5" s="1"/>
  <c r="AL39" i="5"/>
  <c r="AX39" i="5" s="1"/>
  <c r="AL27" i="5"/>
  <c r="AX27" i="5" s="1"/>
  <c r="AL40" i="5"/>
  <c r="AX40" i="5" s="1"/>
  <c r="AL48" i="5"/>
  <c r="AX48" i="5" s="1"/>
  <c r="AL10" i="5"/>
  <c r="AL41" i="5"/>
  <c r="AX41" i="5" s="1"/>
  <c r="AX11" i="5"/>
  <c r="AL34" i="5"/>
  <c r="AX34" i="5" s="1"/>
  <c r="AL21" i="5"/>
  <c r="AX21" i="5" s="1"/>
  <c r="AL35" i="5"/>
  <c r="AX35" i="5" s="1"/>
  <c r="AL12" i="5"/>
  <c r="AL22" i="5"/>
  <c r="AX22" i="5" s="1"/>
  <c r="AX4" i="5"/>
  <c r="AZ51" i="5" s="1"/>
  <c r="G11" i="17"/>
  <c r="G40" i="17"/>
  <c r="G45" i="17"/>
  <c r="N19" i="13"/>
  <c r="AB30" i="4"/>
  <c r="H19" i="13"/>
  <c r="J6" i="8"/>
  <c r="M13" i="7"/>
  <c r="G38" i="17"/>
  <c r="G39" i="17"/>
  <c r="G44" i="17"/>
  <c r="G43" i="17"/>
  <c r="G46" i="17"/>
  <c r="C41" i="6"/>
  <c r="Q27" i="12"/>
  <c r="I6" i="11"/>
  <c r="L28" i="9"/>
  <c r="D40" i="9"/>
  <c r="Y40" i="4"/>
  <c r="Y41" i="4" s="1"/>
  <c r="H17" i="16"/>
  <c r="J29" i="13"/>
  <c r="G42" i="17"/>
  <c r="G49" i="17"/>
  <c r="BA30" i="4"/>
  <c r="N25" i="16"/>
  <c r="J27" i="15"/>
  <c r="J23" i="15"/>
  <c r="N6" i="14"/>
  <c r="J19" i="13"/>
  <c r="J37" i="8"/>
  <c r="G41" i="17"/>
  <c r="G6" i="17"/>
  <c r="N27" i="15"/>
  <c r="J13" i="13"/>
  <c r="P39" i="12"/>
  <c r="Q39" i="12" s="1"/>
  <c r="R39" i="12" s="1"/>
  <c r="Q21" i="11"/>
  <c r="D39" i="7"/>
  <c r="N25" i="13"/>
  <c r="N36" i="12"/>
  <c r="N35" i="8"/>
  <c r="P49" i="18"/>
  <c r="J11" i="15"/>
  <c r="N25" i="14"/>
  <c r="G19" i="11"/>
  <c r="L13" i="9"/>
  <c r="D40" i="8"/>
  <c r="I6" i="7"/>
  <c r="G43" i="14"/>
  <c r="Q13" i="12"/>
  <c r="H13" i="9"/>
  <c r="J42" i="16"/>
  <c r="J29" i="16"/>
  <c r="J17" i="16"/>
  <c r="F43" i="15"/>
  <c r="H19" i="12"/>
  <c r="D39" i="12"/>
  <c r="I19" i="11"/>
  <c r="F37" i="9"/>
  <c r="E40" i="9"/>
  <c r="H40" i="9" s="1"/>
  <c r="H6" i="9"/>
  <c r="G13" i="8"/>
  <c r="I21" i="7"/>
  <c r="M46" i="18"/>
  <c r="P45" i="16"/>
  <c r="G42" i="13"/>
  <c r="F39" i="7"/>
  <c r="M25" i="13"/>
  <c r="AB32" i="4"/>
  <c r="N42" i="16"/>
  <c r="E45" i="16"/>
  <c r="D43" i="14"/>
  <c r="N43" i="14" s="1"/>
  <c r="O43" i="14" s="1"/>
  <c r="J25" i="13"/>
  <c r="J27" i="12"/>
  <c r="Q19" i="12"/>
  <c r="J31" i="18"/>
  <c r="M31" i="18"/>
  <c r="M43" i="14"/>
  <c r="BA34" i="4"/>
  <c r="J11" i="16"/>
  <c r="H17" i="15"/>
  <c r="H6" i="14"/>
  <c r="N27" i="12"/>
  <c r="H37" i="9"/>
  <c r="H21" i="9"/>
  <c r="G37" i="8"/>
  <c r="H37" i="8" s="1"/>
  <c r="G21" i="8"/>
  <c r="H21" i="8" s="1"/>
  <c r="J21" i="8"/>
  <c r="G6" i="8"/>
  <c r="C39" i="7"/>
  <c r="I35" i="6"/>
  <c r="F41" i="3"/>
  <c r="G36" i="17"/>
  <c r="G22" i="17"/>
  <c r="N35" i="18"/>
  <c r="O35" i="18" s="1"/>
  <c r="J23" i="18"/>
  <c r="G30" i="17"/>
  <c r="G21" i="17"/>
  <c r="J40" i="15"/>
  <c r="E39" i="12"/>
  <c r="AF52" i="5"/>
  <c r="G25" i="17"/>
  <c r="G28" i="17" s="1"/>
  <c r="G17" i="17"/>
  <c r="AB33" i="4"/>
  <c r="F45" i="16"/>
  <c r="H40" i="15"/>
  <c r="M17" i="15"/>
  <c r="J17" i="15"/>
  <c r="J43" i="15" s="1"/>
  <c r="F39" i="12"/>
  <c r="G35" i="11"/>
  <c r="I13" i="11"/>
  <c r="F40" i="8"/>
  <c r="D41" i="6"/>
  <c r="G37" i="17"/>
  <c r="E36" i="6"/>
  <c r="H29" i="9"/>
  <c r="M11" i="15"/>
  <c r="N11" i="15" s="1"/>
  <c r="N17" i="16"/>
  <c r="BA36" i="4"/>
  <c r="BC29" i="4"/>
  <c r="D43" i="15"/>
  <c r="H23" i="15"/>
  <c r="J29" i="14"/>
  <c r="J39" i="13"/>
  <c r="J42" i="13" s="1"/>
  <c r="J45" i="13" s="1"/>
  <c r="J46" i="13" s="1"/>
  <c r="N29" i="13"/>
  <c r="C38" i="11"/>
  <c r="G6" i="7"/>
  <c r="I28" i="6"/>
  <c r="G35" i="17"/>
  <c r="G8" i="17"/>
  <c r="G31" i="17"/>
  <c r="G18" i="17"/>
  <c r="AC18" i="10"/>
  <c r="M33" i="11"/>
  <c r="N13" i="8"/>
  <c r="I13" i="6"/>
  <c r="E42" i="13"/>
  <c r="G45" i="13"/>
  <c r="G46" i="13" s="1"/>
  <c r="H43" i="14"/>
  <c r="M40" i="15"/>
  <c r="N40" i="15" s="1"/>
  <c r="G45" i="16"/>
  <c r="N19" i="14"/>
  <c r="E43" i="14"/>
  <c r="J13" i="14"/>
  <c r="P43" i="14"/>
  <c r="F43" i="14"/>
  <c r="Q36" i="12"/>
  <c r="J13" i="12"/>
  <c r="M39" i="12"/>
  <c r="N39" i="12" s="1"/>
  <c r="O39" i="12" s="1"/>
  <c r="M10" i="11"/>
  <c r="M13" i="11" s="1"/>
  <c r="L30" i="9"/>
  <c r="L35" i="9" s="1"/>
  <c r="L19" i="9"/>
  <c r="J13" i="8"/>
  <c r="I36" i="7"/>
  <c r="F39" i="2"/>
  <c r="M11" i="18"/>
  <c r="N11" i="18" s="1"/>
  <c r="M19" i="18"/>
  <c r="N19" i="18" s="1"/>
  <c r="O19" i="18" s="1"/>
  <c r="M27" i="18"/>
  <c r="M11" i="16"/>
  <c r="D11" i="17"/>
  <c r="E11" i="17" s="1"/>
  <c r="N6" i="12"/>
  <c r="BA25" i="4"/>
  <c r="BA21" i="4"/>
  <c r="BA19" i="4"/>
  <c r="G43" i="15"/>
  <c r="H43" i="15" s="1"/>
  <c r="E43" i="15"/>
  <c r="N40" i="14"/>
  <c r="N13" i="14"/>
  <c r="H25" i="13"/>
  <c r="N13" i="13"/>
  <c r="N13" i="12"/>
  <c r="H6" i="12"/>
  <c r="I35" i="11"/>
  <c r="E38" i="11"/>
  <c r="M26" i="11"/>
  <c r="N28" i="8"/>
  <c r="E39" i="7"/>
  <c r="J11" i="18"/>
  <c r="F49" i="18"/>
  <c r="E49" i="18"/>
  <c r="J52" i="18" s="1"/>
  <c r="J46" i="18"/>
  <c r="F42" i="13"/>
  <c r="J36" i="12"/>
  <c r="D49" i="18"/>
  <c r="M39" i="13"/>
  <c r="N39" i="13" s="1"/>
  <c r="G13" i="7"/>
  <c r="H42" i="16"/>
  <c r="Q40" i="4"/>
  <c r="Q41" i="4" s="1"/>
  <c r="AB41" i="4" s="1"/>
  <c r="AX40" i="4"/>
  <c r="BA9" i="4"/>
  <c r="J21" i="16"/>
  <c r="J40" i="14"/>
  <c r="P42" i="13"/>
  <c r="D42" i="13"/>
  <c r="N19" i="12"/>
  <c r="F38" i="11"/>
  <c r="G38" i="11" s="1"/>
  <c r="M30" i="7"/>
  <c r="M35" i="7" s="1"/>
  <c r="G49" i="18"/>
  <c r="G54" i="19" s="1"/>
  <c r="G55" i="19" s="1"/>
  <c r="N17" i="18"/>
  <c r="O17" i="18" s="1"/>
  <c r="N31" i="18"/>
  <c r="AZ40" i="4"/>
  <c r="BA40" i="4" s="1"/>
  <c r="BA15" i="4"/>
  <c r="BB12" i="4"/>
  <c r="Q45" i="16"/>
  <c r="R45" i="16" s="1"/>
  <c r="BA33" i="4"/>
  <c r="BB29" i="4"/>
  <c r="BC31" i="4" s="1"/>
  <c r="G46" i="15"/>
  <c r="G47" i="15" s="1"/>
  <c r="P43" i="15"/>
  <c r="Q43" i="15" s="1"/>
  <c r="R43" i="15" s="1"/>
  <c r="M49" i="15"/>
  <c r="H39" i="12"/>
  <c r="D45" i="16"/>
  <c r="N22" i="15"/>
  <c r="N23" i="15" s="1"/>
  <c r="M23" i="15"/>
  <c r="N17" i="15"/>
  <c r="G46" i="14"/>
  <c r="G47" i="14" s="1"/>
  <c r="AY40" i="4"/>
  <c r="AZ42" i="4" s="1"/>
  <c r="M28" i="7"/>
  <c r="H40" i="14"/>
  <c r="H6" i="13"/>
  <c r="I29" i="7"/>
  <c r="N30" i="18"/>
  <c r="M23" i="18"/>
  <c r="C40" i="9"/>
  <c r="F40" i="9" s="1"/>
  <c r="E29" i="6"/>
  <c r="E13" i="6"/>
  <c r="N8" i="18"/>
  <c r="N23" i="18"/>
  <c r="O21" i="18"/>
  <c r="N25" i="18"/>
  <c r="M6" i="13"/>
  <c r="Q6" i="12"/>
  <c r="I27" i="11"/>
  <c r="E40" i="8"/>
  <c r="J29" i="8"/>
  <c r="I13" i="7"/>
  <c r="X51" i="5"/>
  <c r="X52" i="5" s="1"/>
  <c r="AK51" i="5"/>
  <c r="E4" i="10" s="1"/>
  <c r="AC52" i="5"/>
  <c r="AD51" i="5"/>
  <c r="AE57" i="5" s="1"/>
  <c r="AE58" i="5" s="1"/>
  <c r="AN51" i="5"/>
  <c r="E6" i="10" s="1"/>
  <c r="D23" i="17"/>
  <c r="D19" i="17"/>
  <c r="AI51" i="5"/>
  <c r="AG51" i="5"/>
  <c r="AM51" i="5"/>
  <c r="E5" i="10" s="1"/>
  <c r="AJ51" i="5"/>
  <c r="AH51" i="5"/>
  <c r="G13" i="17"/>
  <c r="D47" i="17"/>
  <c r="D32" i="17"/>
  <c r="G34" i="17"/>
  <c r="N46" i="18"/>
  <c r="O46" i="18" s="1"/>
  <c r="H49" i="18"/>
  <c r="AL51" i="5" l="1"/>
  <c r="AX51" i="5" s="1"/>
  <c r="AX52" i="5" s="1"/>
  <c r="D50" i="17"/>
  <c r="E50" i="17" s="1"/>
  <c r="G23" i="17"/>
  <c r="H42" i="13"/>
  <c r="Q49" i="18"/>
  <c r="R49" i="18" s="1"/>
  <c r="J45" i="16"/>
  <c r="G47" i="17"/>
  <c r="M43" i="15"/>
  <c r="N43" i="15" s="1"/>
  <c r="O43" i="15" s="1"/>
  <c r="AI57" i="5"/>
  <c r="AI58" i="5" s="1"/>
  <c r="AN52" i="5"/>
  <c r="J48" i="16"/>
  <c r="M49" i="18"/>
  <c r="N49" i="18" s="1"/>
  <c r="O49" i="18" s="1"/>
  <c r="AK55" i="5"/>
  <c r="J43" i="14"/>
  <c r="J46" i="14" s="1"/>
  <c r="J47" i="14" s="1"/>
  <c r="G32" i="17"/>
  <c r="N46" i="14"/>
  <c r="G19" i="17"/>
  <c r="G50" i="17" s="1"/>
  <c r="AB40" i="4"/>
  <c r="M42" i="13"/>
  <c r="N42" i="13" s="1"/>
  <c r="O42" i="13" s="1"/>
  <c r="J49" i="18"/>
  <c r="G48" i="16"/>
  <c r="G49" i="16" s="1"/>
  <c r="J39" i="12"/>
  <c r="J49" i="16"/>
  <c r="G39" i="7"/>
  <c r="H39" i="7" s="1"/>
  <c r="I39" i="7"/>
  <c r="Q42" i="13"/>
  <c r="R42" i="13" s="1"/>
  <c r="I38" i="11"/>
  <c r="E41" i="6"/>
  <c r="J46" i="15"/>
  <c r="J47" i="15" s="1"/>
  <c r="G52" i="18"/>
  <c r="G53" i="18" s="1"/>
  <c r="N11" i="16"/>
  <c r="M45" i="16"/>
  <c r="N45" i="16" s="1"/>
  <c r="O45" i="16" s="1"/>
  <c r="Q43" i="14"/>
  <c r="R43" i="14" s="1"/>
  <c r="J40" i="8"/>
  <c r="G40" i="8"/>
  <c r="H40" i="8" s="1"/>
  <c r="O25" i="18"/>
  <c r="N27" i="18"/>
  <c r="O27" i="18" s="1"/>
  <c r="J53" i="18"/>
  <c r="N6" i="13"/>
  <c r="H45" i="16"/>
  <c r="O23" i="18"/>
  <c r="AK52" i="5"/>
  <c r="AJ52" i="5"/>
  <c r="AJ57" i="5"/>
  <c r="AD52" i="5"/>
  <c r="AK57" i="5"/>
  <c r="AH52" i="5"/>
  <c r="AH57" i="5"/>
  <c r="AH58" i="5" s="1"/>
  <c r="AM52" i="5"/>
  <c r="AM57" i="5"/>
  <c r="AM58" i="5" s="1"/>
  <c r="AG52" i="5"/>
  <c r="AG57" i="5"/>
  <c r="AG58" i="5" s="1"/>
  <c r="AN57" i="5"/>
  <c r="AN58" i="5" s="1"/>
  <c r="AO57" i="5"/>
  <c r="AO58" i="5" s="1"/>
  <c r="AN55" i="5"/>
  <c r="AI52" i="5"/>
  <c r="AM55" i="5"/>
  <c r="AL52" i="5" l="1"/>
  <c r="AK58" i="5"/>
  <c r="AJ58" i="5"/>
  <c r="J55" i="17"/>
  <c r="H6" i="10"/>
  <c r="K6" i="10" s="1"/>
  <c r="H5" i="10"/>
  <c r="K5" i="10" s="1"/>
  <c r="H4" i="10"/>
  <c r="K4" i="10" s="1"/>
  <c r="G56" i="17"/>
  <c r="J56" i="17" l="1"/>
  <c r="Y59" i="5"/>
  <c r="Y60" i="5"/>
  <c r="Y58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Darco receipts 2002 - 2009" type="6" refreshedVersion="0" background="1" saveData="1">
    <textPr sourceFile="C:\Documents and Settings\Walter\Desktop\Darco receipts 2002 - 2009.txt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5FC1A299-2A46-4691-9595-54E20D28DD7D}" name="Query - SUM 2015" description="Connection to the 'SUM 2015' query in the workbook." type="100" refreshedVersion="7" minRefreshableVersion="5">
    <extLst>
      <ext xmlns:x15="http://schemas.microsoft.com/office/spreadsheetml/2010/11/main" uri="{DE250136-89BD-433C-8126-D09CA5730AF9}">
        <x15:connection id="11d74bcc-cd62-4d77-be3a-65a71400e16b"/>
      </ext>
    </extLst>
  </connection>
  <connection id="3" xr16:uid="{B72618CB-E9EC-4AC3-A36D-E43FB14E2E3B}" name="Query - SUM 2016" description="Connection to the 'SUM 2016' query in the workbook." type="100" refreshedVersion="7" minRefreshableVersion="5">
    <extLst>
      <ext xmlns:x15="http://schemas.microsoft.com/office/spreadsheetml/2010/11/main" uri="{DE250136-89BD-433C-8126-D09CA5730AF9}">
        <x15:connection id="45a65650-c004-47dc-b6a6-25930cc19ce6"/>
      </ext>
    </extLst>
  </connection>
  <connection id="4" xr16:uid="{00F430B5-4DD0-4E8B-A8D7-D07E82581780}" name="Query - SUM 2017" description="Connection to the 'SUM 2017' query in the workbook." type="100" refreshedVersion="7" minRefreshableVersion="5">
    <extLst>
      <ext xmlns:x15="http://schemas.microsoft.com/office/spreadsheetml/2010/11/main" uri="{DE250136-89BD-433C-8126-D09CA5730AF9}">
        <x15:connection id="0ad8aced-794f-4f64-8f9e-2503279c7471"/>
      </ext>
    </extLst>
  </connection>
  <connection id="5" xr16:uid="{1327382C-74C1-4D16-A06B-60DE93553ED4}" name="Query - SUM 2018" description="Connection to the 'SUM 2018' query in the workbook." type="100" refreshedVersion="7" minRefreshableVersion="5">
    <extLst>
      <ext xmlns:x15="http://schemas.microsoft.com/office/spreadsheetml/2010/11/main" uri="{DE250136-89BD-433C-8126-D09CA5730AF9}">
        <x15:connection id="e9d7a8e5-7383-4f74-ad0b-3f1131c1a65b"/>
      </ext>
    </extLst>
  </connection>
  <connection id="6" xr16:uid="{4D6118A9-67A4-4343-8BC3-82CD5CB07A3F}" name="Query - SUM 2019" description="Connection to the 'SUM 2019' query in the workbook." type="100" refreshedVersion="7" minRefreshableVersion="5">
    <extLst>
      <ext xmlns:x15="http://schemas.microsoft.com/office/spreadsheetml/2010/11/main" uri="{DE250136-89BD-433C-8126-D09CA5730AF9}">
        <x15:connection id="a48b3250-8ab5-4cf3-b916-b3215fccb55b"/>
      </ext>
    </extLst>
  </connection>
  <connection id="7" xr16:uid="{3F2078EA-36B2-4BB4-B284-F00BF99E2AFB}" name="Query - SUM 2020" description="Connection to the 'SUM 2020' query in the workbook." type="100" refreshedVersion="7" minRefreshableVersion="5">
    <extLst>
      <ext xmlns:x15="http://schemas.microsoft.com/office/spreadsheetml/2010/11/main" uri="{DE250136-89BD-433C-8126-D09CA5730AF9}">
        <x15:connection id="555b87ab-f015-4184-bdd1-8109885508a3"/>
      </ext>
    </extLst>
  </connection>
  <connection id="8" xr16:uid="{B16342B6-24DE-4CDC-8CEE-72312A71F4DA}" name="Query - SUM2000" description="Connection to the 'SUM2000' query in the workbook." type="100" refreshedVersion="7" minRefreshableVersion="5">
    <extLst>
      <ext xmlns:x15="http://schemas.microsoft.com/office/spreadsheetml/2010/11/main" uri="{DE250136-89BD-433C-8126-D09CA5730AF9}">
        <x15:connection id="52af9d23-ee7f-4a4e-961b-d4142ea3f1ac"/>
      </ext>
    </extLst>
  </connection>
  <connection id="9" xr16:uid="{2186E4A0-03B1-43BB-8062-45DE6E2BA967}" name="Query - SUM2001" description="Connection to the 'SUM2001' query in the workbook." type="100" refreshedVersion="7" minRefreshableVersion="5">
    <extLst>
      <ext xmlns:x15="http://schemas.microsoft.com/office/spreadsheetml/2010/11/main" uri="{DE250136-89BD-433C-8126-D09CA5730AF9}">
        <x15:connection id="f3a17089-d969-495b-9072-22c3c58a49e0"/>
      </ext>
    </extLst>
  </connection>
  <connection id="10" xr16:uid="{7E6069B8-C372-4240-918C-615AF70AB1A6}" name="Query - SUM2002" description="Connection to the 'SUM2002' query in the workbook." type="100" refreshedVersion="7" minRefreshableVersion="5">
    <extLst>
      <ext xmlns:x15="http://schemas.microsoft.com/office/spreadsheetml/2010/11/main" uri="{DE250136-89BD-433C-8126-D09CA5730AF9}">
        <x15:connection id="9c6a676e-b00d-4ee9-be25-c753f0d975a4"/>
      </ext>
    </extLst>
  </connection>
  <connection id="11" xr16:uid="{73FC32E3-60E5-4F1B-9856-EFD9E682C730}" name="Query - SUM2003" description="Connection to the 'SUM2003' query in the workbook." type="100" refreshedVersion="7" minRefreshableVersion="5">
    <extLst>
      <ext xmlns:x15="http://schemas.microsoft.com/office/spreadsheetml/2010/11/main" uri="{DE250136-89BD-433C-8126-D09CA5730AF9}">
        <x15:connection id="0c6200c5-75b7-4931-a71e-402abf309f7f"/>
      </ext>
    </extLst>
  </connection>
  <connection id="12" xr16:uid="{5A7CE105-ADD0-44A9-998D-F27E33928199}" name="Query - SUM2004" description="Connection to the 'SUM2004' query in the workbook." type="100" refreshedVersion="7" minRefreshableVersion="5">
    <extLst>
      <ext xmlns:x15="http://schemas.microsoft.com/office/spreadsheetml/2010/11/main" uri="{DE250136-89BD-433C-8126-D09CA5730AF9}">
        <x15:connection id="7c3a4274-6907-47c3-91e0-05858bd976da"/>
      </ext>
    </extLst>
  </connection>
  <connection id="13" xr16:uid="{EB5EAE97-2EE7-4B12-85A7-2C9304E4743F}" name="Query - SUM2005" description="Connection to the 'SUM2005' query in the workbook." type="100" refreshedVersion="7" minRefreshableVersion="5">
    <extLst>
      <ext xmlns:x15="http://schemas.microsoft.com/office/spreadsheetml/2010/11/main" uri="{DE250136-89BD-433C-8126-D09CA5730AF9}">
        <x15:connection id="342b9c73-d184-47f1-af22-6324bcf05bf3"/>
      </ext>
    </extLst>
  </connection>
  <connection id="14" xr16:uid="{B0F315A8-150A-43DB-B5EE-C73E25CC0C75}" name="Query - SUM2006" description="Connection to the 'SUM2006' query in the workbook." type="100" refreshedVersion="7" minRefreshableVersion="5">
    <extLst>
      <ext xmlns:x15="http://schemas.microsoft.com/office/spreadsheetml/2010/11/main" uri="{DE250136-89BD-433C-8126-D09CA5730AF9}">
        <x15:connection id="3cc17b60-aeba-4521-84e2-d6f43b4d67c9"/>
      </ext>
    </extLst>
  </connection>
  <connection id="15" xr16:uid="{5536DF94-2496-4DA4-BA95-37F02FD547D9}" name="Query - SUM2007" description="Connection to the 'SUM2007' query in the workbook." type="100" refreshedVersion="7" minRefreshableVersion="5">
    <extLst>
      <ext xmlns:x15="http://schemas.microsoft.com/office/spreadsheetml/2010/11/main" uri="{DE250136-89BD-433C-8126-D09CA5730AF9}">
        <x15:connection id="b37f7659-30f8-4696-b092-26f6473b640c"/>
      </ext>
    </extLst>
  </connection>
  <connection id="16" xr16:uid="{55E864FF-C3D2-4CE0-889D-7024BB5E858F}" name="Query - SUM2008" description="Connection to the 'SUM2008' query in the workbook." type="100" refreshedVersion="7" minRefreshableVersion="5">
    <extLst>
      <ext xmlns:x15="http://schemas.microsoft.com/office/spreadsheetml/2010/11/main" uri="{DE250136-89BD-433C-8126-D09CA5730AF9}">
        <x15:connection id="fda7718d-1b39-4ecc-8987-1d9dcdccbd91"/>
      </ext>
    </extLst>
  </connection>
  <connection id="17" xr16:uid="{696E9511-EC75-4EC0-A6BE-525B5E690320}" name="Query - SUM2009" description="Connection to the 'SUM2009' query in the workbook." type="100" refreshedVersion="7" minRefreshableVersion="5">
    <extLst>
      <ext xmlns:x15="http://schemas.microsoft.com/office/spreadsheetml/2010/11/main" uri="{DE250136-89BD-433C-8126-D09CA5730AF9}">
        <x15:connection id="816b600d-e2b0-4d04-9316-62fde22d2374"/>
      </ext>
    </extLst>
  </connection>
  <connection id="18" xr16:uid="{8881E9AE-F7BA-4265-8387-66D31CEB3FA5}" name="Query - SUM2010" description="Connection to the 'SUM2010' query in the workbook." type="100" refreshedVersion="7" minRefreshableVersion="5">
    <extLst>
      <ext xmlns:x15="http://schemas.microsoft.com/office/spreadsheetml/2010/11/main" uri="{DE250136-89BD-433C-8126-D09CA5730AF9}">
        <x15:connection id="2b32303a-4524-47e1-8e40-3012a904c8d9"/>
      </ext>
    </extLst>
  </connection>
  <connection id="19" xr16:uid="{727CD0D0-ADFF-4663-9E89-E24C507DDB77}" name="Query - SUM2011" description="Connection to the 'SUM2011' query in the workbook." type="100" refreshedVersion="7" minRefreshableVersion="5">
    <extLst>
      <ext xmlns:x15="http://schemas.microsoft.com/office/spreadsheetml/2010/11/main" uri="{DE250136-89BD-433C-8126-D09CA5730AF9}">
        <x15:connection id="3824697c-2aa0-4272-be58-15f9a21beb93"/>
      </ext>
    </extLst>
  </connection>
  <connection id="20" xr16:uid="{36112D53-3033-4B55-8756-A541BA6A03FB}" name="Query - SUM2012" description="Connection to the 'SUM2012' query in the workbook." type="100" refreshedVersion="7" minRefreshableVersion="5">
    <extLst>
      <ext xmlns:x15="http://schemas.microsoft.com/office/spreadsheetml/2010/11/main" uri="{DE250136-89BD-433C-8126-D09CA5730AF9}">
        <x15:connection id="c28de1a8-678a-4b40-bef0-a5f8b460cf94"/>
      </ext>
    </extLst>
  </connection>
  <connection id="21" xr16:uid="{C802BC3F-AB68-4A40-82E8-014EA22AE3EE}" name="Query - SUM2013" description="Connection to the 'SUM2013' query in the workbook." type="100" refreshedVersion="7" minRefreshableVersion="5">
    <extLst>
      <ext xmlns:x15="http://schemas.microsoft.com/office/spreadsheetml/2010/11/main" uri="{DE250136-89BD-433C-8126-D09CA5730AF9}">
        <x15:connection id="10b2a77a-cb74-461b-b816-bb3125b4df2d"/>
      </ext>
    </extLst>
  </connection>
  <connection id="22" xr16:uid="{88C4CAEF-F350-4120-BA3D-0254466144C5}" name="Query - SUM2014" description="Connection to the 'SUM2014' query in the workbook." type="100" refreshedVersion="7" minRefreshableVersion="5">
    <extLst>
      <ext xmlns:x15="http://schemas.microsoft.com/office/spreadsheetml/2010/11/main" uri="{DE250136-89BD-433C-8126-D09CA5730AF9}">
        <x15:connection id="8977a234-eea8-42d3-82cb-587b5fae6a41"/>
      </ext>
    </extLst>
  </connection>
  <connection id="23" xr16:uid="{0F9F9552-3187-43C4-A75F-B7C8B9E8842D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<sst xmlns="http://schemas.openxmlformats.org/spreadsheetml/2006/main" count="3238" uniqueCount="600">
  <si>
    <t>RAILROAD COMMISSION OF TEXAS</t>
  </si>
  <si>
    <t>ANNUAL REPORT OF COAL MINING OPERATIONS</t>
  </si>
  <si>
    <t>JANUARY THROUGH DECEMBER, 1993</t>
  </si>
  <si>
    <t>Bond Ac.</t>
  </si>
  <si>
    <t>Ac. Perm.</t>
  </si>
  <si>
    <t>Coal Prod.</t>
  </si>
  <si>
    <t>Company</t>
  </si>
  <si>
    <t>Mine</t>
  </si>
  <si>
    <t>Mined Ac.</t>
  </si>
  <si>
    <t>Affected Ac.</t>
  </si>
  <si>
    <t>Backfilled Ac.</t>
  </si>
  <si>
    <t xml:space="preserve"> Released</t>
  </si>
  <si>
    <t>Vegetated</t>
  </si>
  <si>
    <t>1993 (Tons)</t>
  </si>
  <si>
    <t>Est.  1994</t>
  </si>
  <si>
    <t>Alcoa</t>
  </si>
  <si>
    <t>Sandow</t>
  </si>
  <si>
    <t>Amistad Fuels</t>
  </si>
  <si>
    <t>Little Bull Creek</t>
  </si>
  <si>
    <t>Farco</t>
  </si>
  <si>
    <t>Palafox</t>
  </si>
  <si>
    <t>Rachal</t>
  </si>
  <si>
    <t>American Norit</t>
  </si>
  <si>
    <t>Darco</t>
  </si>
  <si>
    <t>LCRA</t>
  </si>
  <si>
    <t>Powell Bend</t>
  </si>
  <si>
    <t>Northwestern Resources</t>
  </si>
  <si>
    <t>Jewett</t>
  </si>
  <si>
    <t>Sabine Mining</t>
  </si>
  <si>
    <t>S. Hallsville</t>
  </si>
  <si>
    <t>San Miguel Electric</t>
  </si>
  <si>
    <t>San Miguel II</t>
  </si>
  <si>
    <t>Texas Municipal Power</t>
  </si>
  <si>
    <t>Gibbons Creek 26B</t>
  </si>
  <si>
    <t>Gibbons Creek IV</t>
  </si>
  <si>
    <t>Texas Utilities</t>
  </si>
  <si>
    <t>Big Brown</t>
  </si>
  <si>
    <t>Martin Lake  4E &amp;41</t>
  </si>
  <si>
    <t>Oak Hill 22A &amp; 2280</t>
  </si>
  <si>
    <t>Monticello Winfield H&amp;G</t>
  </si>
  <si>
    <t>Monticello Thermo</t>
  </si>
  <si>
    <t>Monticello B2</t>
  </si>
  <si>
    <t>Walnut Creek Mining</t>
  </si>
  <si>
    <t>Calvert</t>
  </si>
  <si>
    <t>STATEWIDE TOTAL</t>
  </si>
  <si>
    <t>Cumulative</t>
  </si>
  <si>
    <t>Mine (Pmt. No.)</t>
  </si>
  <si>
    <t>1976 (Tons)</t>
  </si>
  <si>
    <t>1977 (Tons)</t>
  </si>
  <si>
    <t>1978 (Tons)</t>
  </si>
  <si>
    <t>1979 (Tons)</t>
  </si>
  <si>
    <t>1980 (Tons)</t>
  </si>
  <si>
    <t>1981 (Tons)</t>
  </si>
  <si>
    <t>1982 (Tons)</t>
  </si>
  <si>
    <t>1983 (Tons)</t>
  </si>
  <si>
    <t>1984 (Tons)</t>
  </si>
  <si>
    <t>1985 (Tons)</t>
  </si>
  <si>
    <t>1986 (Tons)</t>
  </si>
  <si>
    <t>1987 (Tons)</t>
  </si>
  <si>
    <t>1988 (Tons)</t>
  </si>
  <si>
    <t>1989 (Tons)</t>
  </si>
  <si>
    <t>Pre-1990</t>
  </si>
  <si>
    <t>Production</t>
  </si>
  <si>
    <t>Mined</t>
  </si>
  <si>
    <t>Sandow (1D)</t>
  </si>
  <si>
    <t>Amistad Fuel Company</t>
  </si>
  <si>
    <t>Little Bull Creek (7A)</t>
  </si>
  <si>
    <t>Farco Mining of Texas, Inc.</t>
  </si>
  <si>
    <t>Palafox (37A)</t>
  </si>
  <si>
    <t>Rachal (9A)</t>
  </si>
  <si>
    <t>Trevino (45)</t>
  </si>
  <si>
    <t>Powell Bend (35A)</t>
  </si>
  <si>
    <t>Norit Americas, Inc.</t>
  </si>
  <si>
    <t>Darco (29A)</t>
  </si>
  <si>
    <t>Northwestern Resources Co.</t>
  </si>
  <si>
    <t>The Sabine Mining Company</t>
  </si>
  <si>
    <t>S. Hallsville No. 1 (33D)</t>
  </si>
  <si>
    <t>San Miguel Electric Coop., Inc.</t>
  </si>
  <si>
    <t>Texas Municipal Power Agency</t>
  </si>
  <si>
    <t>Gibbons Creek 26C (26C)</t>
  </si>
  <si>
    <t>Gibbons Creek V (38C)</t>
  </si>
  <si>
    <t>Texas Utilities Mining Company</t>
  </si>
  <si>
    <t>Big Brown (3D &amp; 44)</t>
  </si>
  <si>
    <t>Martin Lake  (4H)</t>
  </si>
  <si>
    <t>Oak Hill (22D &amp; 46)</t>
  </si>
  <si>
    <t>Monticello Thermo (5D)</t>
  </si>
  <si>
    <t>Walnut Creek Mining Company</t>
  </si>
  <si>
    <t>Calvert (27D)</t>
  </si>
  <si>
    <t>Thurber Coal Company</t>
  </si>
  <si>
    <t>Thurber (10)</t>
  </si>
  <si>
    <t>Acres</t>
  </si>
  <si>
    <t>Acreage Fee</t>
  </si>
  <si>
    <t>(Short Tons)</t>
  </si>
  <si>
    <t>($120.00/acre)</t>
  </si>
  <si>
    <t>Thurber</t>
  </si>
  <si>
    <t>Jewett (32E)</t>
  </si>
  <si>
    <t>Monticello Winfield &amp; B-2 (30C &amp; 34C)</t>
  </si>
  <si>
    <t>1998 Acres</t>
  </si>
  <si>
    <t>$/ton</t>
  </si>
  <si>
    <t>avg. $/ton</t>
  </si>
  <si>
    <t>San Miguel IV (11E)</t>
  </si>
  <si>
    <r>
      <t>LIGNITE</t>
    </r>
    <r>
      <rPr>
        <b/>
        <sz val="9"/>
        <rFont val="Arial"/>
        <family val="2"/>
      </rPr>
      <t xml:space="preserve"> PRODUCTION FOR ELEC. GENERATION</t>
    </r>
  </si>
  <si>
    <t>1999 Acres</t>
  </si>
  <si>
    <t>Monticello  Mines</t>
  </si>
  <si>
    <t>Permitted 8/12/1982</t>
  </si>
  <si>
    <t>Permited Ac.12/93</t>
  </si>
  <si>
    <t>2000 TEXAS LIGNITE PRODUCTION SUMMARY</t>
  </si>
  <si>
    <t>Check</t>
  </si>
  <si>
    <t>Dist. Ac</t>
  </si>
  <si>
    <t>Amount</t>
  </si>
  <si>
    <t>Alcoa Inc.</t>
  </si>
  <si>
    <t>Dos Republicas Resources, Inc.</t>
  </si>
  <si>
    <t>Eagle Pass Mine (42)</t>
  </si>
  <si>
    <t>Palafox (37B)</t>
  </si>
  <si>
    <t>Rachal (9B)</t>
  </si>
  <si>
    <t>Trevino (45A)</t>
  </si>
  <si>
    <t>Lower Colorado River Authority</t>
  </si>
  <si>
    <t>Darco (29B)</t>
  </si>
  <si>
    <t>Gibbons Creek (26C)</t>
  </si>
  <si>
    <t>TXU Mining Company (TOTAL)</t>
  </si>
  <si>
    <t>Big Brown (3D)</t>
  </si>
  <si>
    <t>Oak Hill ( 22D)</t>
  </si>
  <si>
    <t>Oak Hill ( 46A)</t>
  </si>
  <si>
    <t>Monticello-Winfield (30C)</t>
  </si>
  <si>
    <t>Monticello B-2 (34C)</t>
  </si>
  <si>
    <t>Sandow Mine</t>
  </si>
  <si>
    <t>Little Bull Creek Mine</t>
  </si>
  <si>
    <t>Palafox Mine</t>
  </si>
  <si>
    <t>Rachal Mine</t>
  </si>
  <si>
    <t>Trevino Mine</t>
  </si>
  <si>
    <t>Powell Bend Mine</t>
  </si>
  <si>
    <t>Darco Mine</t>
  </si>
  <si>
    <t>Jewett Mine</t>
  </si>
  <si>
    <t>S. Hallsville No. 1 Mine</t>
  </si>
  <si>
    <t>Gibbons Creek Mine</t>
  </si>
  <si>
    <t>Gibbons Creek IV Mine</t>
  </si>
  <si>
    <t>Big Brown Mine</t>
  </si>
  <si>
    <t>Oak Hill Mine</t>
  </si>
  <si>
    <t>Monticello Thermo Mine</t>
  </si>
  <si>
    <t>Calvert Mine</t>
  </si>
  <si>
    <t>Thurber Mine</t>
  </si>
  <si>
    <t xml:space="preserve">Mine </t>
  </si>
  <si>
    <t>San Miguel Lignite Mine</t>
  </si>
  <si>
    <t>Martin Lake Mine</t>
  </si>
  <si>
    <t>Eagle Pass Mine</t>
  </si>
  <si>
    <t>Monticello Winfield Mine</t>
  </si>
  <si>
    <t>TXU Mining Company LP</t>
  </si>
  <si>
    <t>Farco Mining, Inc.</t>
  </si>
  <si>
    <t>Proposed Fee</t>
  </si>
  <si>
    <t>($300.00/acre)</t>
  </si>
  <si>
    <t>Farco Subtotal</t>
  </si>
  <si>
    <t>San Miguel Mine</t>
  </si>
  <si>
    <t>TMPA Subtotal</t>
  </si>
  <si>
    <t xml:space="preserve">TXU Mining Company </t>
  </si>
  <si>
    <t>Martin Lake  Mine</t>
  </si>
  <si>
    <t>Monticello-Winfield Mine</t>
  </si>
  <si>
    <t>TXU Subtotal</t>
  </si>
  <si>
    <t>Jewett E/F Mine</t>
  </si>
  <si>
    <t>Jewett Subtotal</t>
  </si>
  <si>
    <t>Production (Short Tons)</t>
  </si>
  <si>
    <t>Acres             Mined</t>
  </si>
  <si>
    <t>Fee Collected ($120/Acre)</t>
  </si>
  <si>
    <t xml:space="preserve">  Mine </t>
  </si>
  <si>
    <t>No Longer Permitted</t>
  </si>
  <si>
    <t xml:space="preserve">Total Fee Collected </t>
  </si>
  <si>
    <t>Three Oaks Mine</t>
  </si>
  <si>
    <t>Alcoa Total</t>
  </si>
  <si>
    <t>Farco Total</t>
  </si>
  <si>
    <t>TMPA Total</t>
  </si>
  <si>
    <t>TXU Total</t>
  </si>
  <si>
    <t>NWR Total</t>
  </si>
  <si>
    <t>Acres Mined Prior to 8/31/03</t>
  </si>
  <si>
    <t>Acres Mined After 8/31/03</t>
  </si>
  <si>
    <t>Total Acres Mined</t>
  </si>
  <si>
    <t>Disturbed Acres</t>
  </si>
  <si>
    <t>Tons/Acre</t>
  </si>
  <si>
    <t xml:space="preserve">-   </t>
  </si>
  <si>
    <t>Treviño Mine</t>
  </si>
  <si>
    <t>Gibbons Creek V Mine</t>
  </si>
  <si>
    <t>Dos Republicas Resources Co., Inc.</t>
  </si>
  <si>
    <t>Texas Westmoreland Coal Co.</t>
  </si>
  <si>
    <t>Acres Mined Prior to 8/31/04</t>
  </si>
  <si>
    <t>Acres Mined After 8/31/04</t>
  </si>
  <si>
    <t>Twin Oak Mine</t>
  </si>
  <si>
    <t xml:space="preserve"> </t>
  </si>
  <si>
    <t>$</t>
  </si>
  <si>
    <t>Acres Mined</t>
  </si>
  <si>
    <t>Acres Disturbed</t>
  </si>
  <si>
    <t>TWCC Total</t>
  </si>
  <si>
    <t>Year</t>
  </si>
  <si>
    <t>Acres Bonded</t>
  </si>
  <si>
    <t xml:space="preserve">37C  </t>
  </si>
  <si>
    <t xml:space="preserve">9D  </t>
  </si>
  <si>
    <t xml:space="preserve">45B  </t>
  </si>
  <si>
    <t xml:space="preserve">11F  </t>
  </si>
  <si>
    <t xml:space="preserve">32F  </t>
  </si>
  <si>
    <t xml:space="preserve">33F  </t>
  </si>
  <si>
    <t xml:space="preserve">1E </t>
  </si>
  <si>
    <t xml:space="preserve">26D  </t>
  </si>
  <si>
    <t xml:space="preserve">38D  </t>
  </si>
  <si>
    <t xml:space="preserve">27F  </t>
  </si>
  <si>
    <t xml:space="preserve">3D  </t>
  </si>
  <si>
    <t xml:space="preserve">4I  </t>
  </si>
  <si>
    <t xml:space="preserve">5F  </t>
  </si>
  <si>
    <t xml:space="preserve">34D  </t>
  </si>
  <si>
    <t xml:space="preserve">46B  </t>
  </si>
  <si>
    <t>Required Payment</t>
  </si>
  <si>
    <t>Bonded Acres</t>
  </si>
  <si>
    <t>Difference</t>
  </si>
  <si>
    <t>Payment</t>
  </si>
  <si>
    <t>Actual</t>
  </si>
  <si>
    <t xml:space="preserve">(reflects return of overpayment of $3.00 to TXU) </t>
  </si>
  <si>
    <t>1997 - 2006</t>
  </si>
  <si>
    <t>avg</t>
  </si>
  <si>
    <t>max</t>
  </si>
  <si>
    <t>min</t>
  </si>
  <si>
    <t>South Hallsville No. 1 Mine</t>
  </si>
  <si>
    <t>Kosse Mine</t>
  </si>
  <si>
    <t>2006 Production (Short Tons)</t>
  </si>
  <si>
    <t>Luminant Mining Company LLC</t>
  </si>
  <si>
    <t>2007 Production (Short Tons)</t>
  </si>
  <si>
    <t>Luminant Total</t>
  </si>
  <si>
    <t>1E</t>
  </si>
  <si>
    <t>37C</t>
  </si>
  <si>
    <t>9D</t>
  </si>
  <si>
    <t>45B</t>
  </si>
  <si>
    <t>29C</t>
  </si>
  <si>
    <t>32F</t>
  </si>
  <si>
    <t>33G</t>
  </si>
  <si>
    <t>11F</t>
  </si>
  <si>
    <t>26D</t>
  </si>
  <si>
    <t>38D</t>
  </si>
  <si>
    <t>3D</t>
  </si>
  <si>
    <t>4J</t>
  </si>
  <si>
    <t>46B</t>
  </si>
  <si>
    <t>34E</t>
  </si>
  <si>
    <t>5F</t>
  </si>
  <si>
    <t>27F</t>
  </si>
  <si>
    <t>Short Tons/             Acre Mined</t>
  </si>
  <si>
    <t>Monticello-Thermo Mine</t>
  </si>
  <si>
    <t>42A</t>
  </si>
  <si>
    <t>3E</t>
  </si>
  <si>
    <t>Leesburg Mine</t>
  </si>
  <si>
    <t>2008 Production (Short Tons)</t>
  </si>
  <si>
    <t>San Miguel Area C Mine</t>
  </si>
  <si>
    <t>2008 Bonded Acres (A&amp;P)</t>
  </si>
  <si>
    <t>Dos Republicas Coal Partnership</t>
  </si>
  <si>
    <t>SMECI Total</t>
  </si>
  <si>
    <t>2009 Production (Short Tons)</t>
  </si>
  <si>
    <t>1F</t>
  </si>
  <si>
    <t>Martin Lake AIV South Mine</t>
  </si>
  <si>
    <t>2009 Bonded Acres (A&amp;P)</t>
  </si>
  <si>
    <t>27G</t>
  </si>
  <si>
    <t>47A</t>
  </si>
  <si>
    <t>TONS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</si>
  <si>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</si>
  <si>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</si>
  <si>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</si>
  <si>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</si>
  <si>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</si>
  <si>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</si>
  <si>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</si>
  <si>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</si>
  <si>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</si>
  <si>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</si>
  <si>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</si>
  <si>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</si>
  <si>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 Tons</t>
  </si>
  <si>
    <t>Compiled April 1st, 2010 from best available data (from Silverthorne)</t>
  </si>
  <si>
    <t>4K</t>
  </si>
  <si>
    <t>45C</t>
  </si>
  <si>
    <t>5G</t>
  </si>
  <si>
    <t>48A</t>
  </si>
  <si>
    <t>49A</t>
  </si>
  <si>
    <t>Bremond Mine</t>
  </si>
  <si>
    <t>Turlington Mine</t>
  </si>
  <si>
    <t>2010 Bonded Acres (A&amp;P)</t>
  </si>
  <si>
    <t>2010 Production (Short Tons)</t>
  </si>
  <si>
    <t xml:space="preserve">Farco Total </t>
  </si>
  <si>
    <t xml:space="preserve">TWCC Total </t>
  </si>
  <si>
    <t xml:space="preserve">SMECI Total </t>
  </si>
  <si>
    <t xml:space="preserve">TMPA Total </t>
  </si>
  <si>
    <t xml:space="preserve">Luminant Total </t>
  </si>
  <si>
    <t>&lt;==check = 0 ?</t>
  </si>
  <si>
    <t>= combined Jewett mines, Monticello mines, Martin Lake, AIV South &amp; Oak Hill mines</t>
  </si>
  <si>
    <t>data rcvd. on 3/22/11*</t>
  </si>
  <si>
    <t>Coal Production Reported to Commission Used for Power Generation</t>
  </si>
  <si>
    <t>Energy Information Administration (EIA) Coal Consumption - Texas</t>
  </si>
  <si>
    <t>Acres    Mined</t>
  </si>
  <si>
    <t>Acres   Bonded</t>
  </si>
  <si>
    <t>33H</t>
  </si>
  <si>
    <t>45D</t>
  </si>
  <si>
    <t>2011 Production (Short Tons)</t>
  </si>
  <si>
    <t>Rusk Mine</t>
  </si>
  <si>
    <t xml:space="preserve">SMC Total </t>
  </si>
  <si>
    <t>2011 Bonded Acres (A&amp;P)</t>
  </si>
  <si>
    <t>50A</t>
  </si>
  <si>
    <t>increase in acres mined</t>
  </si>
  <si>
    <t>% increase in acres mined</t>
  </si>
  <si>
    <t>% increase</t>
  </si>
  <si>
    <t>Production reported to OSM</t>
  </si>
  <si>
    <t>* (October 2010 amt. includes 50,000 ton stockpile mined but not delivered)</t>
  </si>
  <si>
    <t>data rcvd. on 3/21/12</t>
  </si>
  <si>
    <t>Permit No.</t>
  </si>
  <si>
    <r>
      <t xml:space="preserve">Permit Fee, </t>
    </r>
    <r>
      <rPr>
        <sz val="14"/>
        <rFont val="Times New Roman"/>
        <family val="1"/>
      </rPr>
      <t>($)</t>
    </r>
  </si>
  <si>
    <t xml:space="preserve"> TOTAL   </t>
  </si>
  <si>
    <t>check=0? ===&gt;</t>
  </si>
  <si>
    <t>2012 Production (Short Tons)</t>
  </si>
  <si>
    <t>2012 Bonded Acres (A&amp;P)</t>
  </si>
  <si>
    <t>Monticello Thermo A-1 Mine</t>
  </si>
  <si>
    <t>Liberty Mine</t>
  </si>
  <si>
    <t>3F</t>
  </si>
  <si>
    <t>48B</t>
  </si>
  <si>
    <t>Marshall Mining, LLC</t>
  </si>
  <si>
    <t>Marshall Mine Facilities</t>
  </si>
  <si>
    <t>Marshall Mine, LLC</t>
  </si>
  <si>
    <t>Thermo A-1 Mine</t>
  </si>
  <si>
    <t># rcvd. on 04/03/13</t>
  </si>
  <si>
    <t>change in acres mined</t>
  </si>
  <si>
    <t>% change in acres mined</t>
  </si>
  <si>
    <t>Reported to OSM</t>
  </si>
  <si>
    <t>42B</t>
  </si>
  <si>
    <t>11G</t>
  </si>
  <si>
    <t>52A</t>
  </si>
  <si>
    <t>46C</t>
  </si>
  <si>
    <t>Marshall Mining Total</t>
  </si>
  <si>
    <t>Marshall Mine</t>
  </si>
  <si>
    <t>2013 Production (Short Tons)</t>
  </si>
  <si>
    <t>2013 Bonded Acres (A&amp;P)</t>
  </si>
  <si>
    <t># rcvd. on 04/16/14</t>
  </si>
  <si>
    <t xml:space="preserve">        Mine </t>
  </si>
  <si>
    <t>2014 Production (Short Tons)</t>
  </si>
  <si>
    <t>2014 Bonded Acres (A&amp;P)</t>
  </si>
  <si>
    <t>34F</t>
  </si>
  <si>
    <t>48C</t>
  </si>
  <si>
    <r>
      <t xml:space="preserve">Bonded Acreage Fee, </t>
    </r>
    <r>
      <rPr>
        <sz val="14"/>
        <rFont val="Times New Roman"/>
        <family val="1"/>
      </rPr>
      <t>($)</t>
    </r>
  </si>
  <si>
    <t>Total Fees*</t>
  </si>
  <si>
    <t># rcvd. on 04/2/15</t>
  </si>
  <si>
    <t>San Miguel Electric Cooperative, Inc.</t>
  </si>
  <si>
    <t>+</t>
  </si>
  <si>
    <t>= ceased production</t>
  </si>
  <si>
    <t>= new production</t>
  </si>
  <si>
    <t>= facilities permit</t>
  </si>
  <si>
    <t>= incresed production over 2013</t>
  </si>
  <si>
    <t>= decreased production over 2013</t>
  </si>
  <si>
    <t>/</t>
  </si>
  <si>
    <t>54A</t>
  </si>
  <si>
    <t>2015 Production (Short Tons)</t>
  </si>
  <si>
    <t>= decreased production over 2014</t>
  </si>
  <si>
    <t>--</t>
  </si>
  <si>
    <t xml:space="preserve">Total Fees Collected </t>
  </si>
  <si>
    <t>total mines</t>
  </si>
  <si>
    <t>ceased production</t>
  </si>
  <si>
    <t>increased production</t>
  </si>
  <si>
    <t>decreased production</t>
  </si>
  <si>
    <t>= increased production over 2014</t>
  </si>
  <si>
    <t>non-mining permit (facilites only)</t>
  </si>
  <si>
    <t>yet to start production</t>
  </si>
  <si>
    <t>2015 Bonded Acres (A&amp;P)</t>
  </si>
  <si>
    <t>total payment difference</t>
  </si>
  <si>
    <t>-</t>
  </si>
  <si>
    <t>2007 Acres Mined</t>
  </si>
  <si>
    <r>
      <t xml:space="preserve">Company / Mine  </t>
    </r>
    <r>
      <rPr>
        <b/>
        <sz val="13"/>
        <color rgb="FF0070C0"/>
        <rFont val="Arial"/>
        <family val="2"/>
      </rPr>
      <t>(Permit No.)</t>
    </r>
  </si>
  <si>
    <r>
      <t xml:space="preserve">Little Bull Creek  </t>
    </r>
    <r>
      <rPr>
        <b/>
        <sz val="13"/>
        <color rgb="FF0070C0"/>
        <rFont val="Arial"/>
        <family val="2"/>
      </rPr>
      <t>(7A)</t>
    </r>
  </si>
  <si>
    <r>
      <t xml:space="preserve">Eagle Pass  </t>
    </r>
    <r>
      <rPr>
        <b/>
        <sz val="13"/>
        <color rgb="FF0070C0"/>
        <rFont val="Arial"/>
        <family val="2"/>
      </rPr>
      <t>(42B)</t>
    </r>
  </si>
  <si>
    <r>
      <t xml:space="preserve">Palafox  </t>
    </r>
    <r>
      <rPr>
        <b/>
        <sz val="13"/>
        <color rgb="FF0070C0"/>
        <rFont val="Arial"/>
        <family val="2"/>
      </rPr>
      <t>(37C)</t>
    </r>
  </si>
  <si>
    <r>
      <t xml:space="preserve">Rachal  </t>
    </r>
    <r>
      <rPr>
        <b/>
        <sz val="13"/>
        <color rgb="FF0070C0"/>
        <rFont val="Arial"/>
        <family val="2"/>
      </rPr>
      <t>(9D)</t>
    </r>
  </si>
  <si>
    <r>
      <t xml:space="preserve">Treviño  </t>
    </r>
    <r>
      <rPr>
        <b/>
        <sz val="13"/>
        <color rgb="FF0070C0"/>
        <rFont val="Arial"/>
        <family val="2"/>
      </rPr>
      <t>(45D)</t>
    </r>
  </si>
  <si>
    <r>
      <t xml:space="preserve">Powell Bend  </t>
    </r>
    <r>
      <rPr>
        <b/>
        <sz val="13"/>
        <color rgb="FF0070C0"/>
        <rFont val="Arial"/>
        <family val="2"/>
      </rPr>
      <t>(35B)</t>
    </r>
  </si>
  <si>
    <r>
      <t xml:space="preserve">Marshall Mine Facilities </t>
    </r>
    <r>
      <rPr>
        <b/>
        <sz val="13"/>
        <color rgb="FF0070C0"/>
        <rFont val="Arial"/>
        <family val="2"/>
      </rPr>
      <t>(57)</t>
    </r>
  </si>
  <si>
    <r>
      <t xml:space="preserve">Darco  </t>
    </r>
    <r>
      <rPr>
        <b/>
        <sz val="13"/>
        <color rgb="FF0070C0"/>
        <rFont val="Arial"/>
        <family val="2"/>
      </rPr>
      <t>(29C)</t>
    </r>
  </si>
  <si>
    <r>
      <t xml:space="preserve">San Miguel Area C Mine </t>
    </r>
    <r>
      <rPr>
        <b/>
        <sz val="13"/>
        <color rgb="FF0070C0"/>
        <rFont val="Arial"/>
        <family val="2"/>
      </rPr>
      <t>(52A)</t>
    </r>
  </si>
  <si>
    <r>
      <t xml:space="preserve">Gibbons Creek  </t>
    </r>
    <r>
      <rPr>
        <b/>
        <sz val="13"/>
        <color rgb="FF0070C0"/>
        <rFont val="Arial"/>
        <family val="2"/>
      </rPr>
      <t>(26D)</t>
    </r>
  </si>
  <si>
    <r>
      <t xml:space="preserve">Gibbons Creek V  </t>
    </r>
    <r>
      <rPr>
        <b/>
        <sz val="13"/>
        <color rgb="FF0070C0"/>
        <rFont val="Arial"/>
        <family val="2"/>
      </rPr>
      <t>(38D)</t>
    </r>
  </si>
  <si>
    <r>
      <t xml:space="preserve">Big Brown  </t>
    </r>
    <r>
      <rPr>
        <b/>
        <sz val="13"/>
        <color rgb="FF0070C0"/>
        <rFont val="Arial"/>
        <family val="2"/>
      </rPr>
      <t>(3F)</t>
    </r>
  </si>
  <si>
    <r>
      <t xml:space="preserve">Oak Hill  </t>
    </r>
    <r>
      <rPr>
        <b/>
        <sz val="13"/>
        <color rgb="FF0070C0"/>
        <rFont val="Arial"/>
        <family val="2"/>
      </rPr>
      <t>(46C)</t>
    </r>
  </si>
  <si>
    <r>
      <t xml:space="preserve">Monticello Winfield  </t>
    </r>
    <r>
      <rPr>
        <b/>
        <sz val="13"/>
        <color rgb="FF0070C0"/>
        <rFont val="Arial"/>
        <family val="2"/>
      </rPr>
      <t>(34F)</t>
    </r>
  </si>
  <si>
    <r>
      <t xml:space="preserve">Monticello Thermo  </t>
    </r>
    <r>
      <rPr>
        <b/>
        <sz val="13"/>
        <color rgb="FF0070C0"/>
        <rFont val="Arial"/>
        <family val="2"/>
      </rPr>
      <t>(5G)</t>
    </r>
  </si>
  <si>
    <r>
      <t xml:space="preserve">Three Oaks  </t>
    </r>
    <r>
      <rPr>
        <b/>
        <sz val="13"/>
        <color rgb="FF0070C0"/>
        <rFont val="Arial"/>
        <family val="2"/>
      </rPr>
      <t>(48C)</t>
    </r>
  </si>
  <si>
    <r>
      <t xml:space="preserve">Leesburg Mine </t>
    </r>
    <r>
      <rPr>
        <b/>
        <sz val="13"/>
        <color rgb="FF0070C0"/>
        <rFont val="Arial"/>
        <family val="2"/>
      </rPr>
      <t>(51)</t>
    </r>
  </si>
  <si>
    <r>
      <t xml:space="preserve">Martin Lake AIV South Mine </t>
    </r>
    <r>
      <rPr>
        <b/>
        <sz val="13"/>
        <color rgb="FF0070C0"/>
        <rFont val="Arial"/>
        <family val="2"/>
      </rPr>
      <t>(53)</t>
    </r>
  </si>
  <si>
    <r>
      <t xml:space="preserve">Turlington Mine </t>
    </r>
    <r>
      <rPr>
        <b/>
        <sz val="13"/>
        <color rgb="FF0070C0"/>
        <rFont val="Arial"/>
        <family val="2"/>
      </rPr>
      <t>(54A)</t>
    </r>
  </si>
  <si>
    <r>
      <t xml:space="preserve">Monticello Thermo A-1 Mine </t>
    </r>
    <r>
      <rPr>
        <b/>
        <sz val="13"/>
        <color rgb="FF0070C0"/>
        <rFont val="Arial"/>
        <family val="2"/>
      </rPr>
      <t>(56)</t>
    </r>
  </si>
  <si>
    <r>
      <t xml:space="preserve">Thurber  </t>
    </r>
    <r>
      <rPr>
        <b/>
        <sz val="13"/>
        <color rgb="FF0070C0"/>
        <rFont val="Arial"/>
        <family val="2"/>
      </rPr>
      <t>(10)</t>
    </r>
  </si>
  <si>
    <t xml:space="preserve"> to OSM</t>
  </si>
  <si>
    <t>Reported</t>
  </si>
  <si>
    <t>2016 Production (Short Tons)</t>
  </si>
  <si>
    <t>2016 Bonded Acres (A&amp;P)</t>
  </si>
  <si>
    <t>=yet to start production</t>
  </si>
  <si>
    <t>NA</t>
  </si>
  <si>
    <t>increase/decrease over previous yr</t>
  </si>
  <si>
    <t>same as a percent</t>
  </si>
  <si>
    <t>Total</t>
  </si>
  <si>
    <r>
      <t xml:space="preserve">Martin Lake  </t>
    </r>
    <r>
      <rPr>
        <b/>
        <sz val="13"/>
        <color rgb="FF0070C0"/>
        <rFont val="Arial"/>
        <family val="2"/>
      </rPr>
      <t>(4L)</t>
    </r>
  </si>
  <si>
    <t>`</t>
  </si>
  <si>
    <t>Q1</t>
  </si>
  <si>
    <t>Q2</t>
  </si>
  <si>
    <t>Q3</t>
  </si>
  <si>
    <t>Q4</t>
  </si>
  <si>
    <t>32G</t>
  </si>
  <si>
    <t>4L</t>
  </si>
  <si>
    <t>49B</t>
  </si>
  <si>
    <t>50B</t>
  </si>
  <si>
    <t>27H</t>
  </si>
  <si>
    <t>ceased prod during this year</t>
  </si>
  <si>
    <t>production  (tons) change between years</t>
  </si>
  <si>
    <t xml:space="preserve">% production change between years  </t>
  </si>
  <si>
    <t>Red text are values used in letter</t>
  </si>
  <si>
    <t>Red text are used in letter</t>
  </si>
  <si>
    <t>2017 Production (Short Tons)</t>
  </si>
  <si>
    <t>1G</t>
  </si>
  <si>
    <t>2017 Bonded Acres (A&amp;P)</t>
  </si>
  <si>
    <t>Alcoa USA Corp.</t>
  </si>
  <si>
    <r>
      <t xml:space="preserve">Sandow  </t>
    </r>
    <r>
      <rPr>
        <b/>
        <sz val="13"/>
        <color rgb="FF0070C0"/>
        <rFont val="Arial"/>
        <family val="2"/>
      </rPr>
      <t>(1G)</t>
    </r>
  </si>
  <si>
    <t>Production for Texas Reported to Office of Surface Mining</t>
  </si>
  <si>
    <t>Cumulative Production           (short tons)</t>
  </si>
  <si>
    <t>= increased production over 2016</t>
  </si>
  <si>
    <t>= decreased production over 2016</t>
  </si>
  <si>
    <t>55A</t>
  </si>
  <si>
    <t>San Miguel Area F, G, &amp; H Mine</t>
  </si>
  <si>
    <t>2018 Production (Short Tons)</t>
  </si>
  <si>
    <t>dif $s</t>
  </si>
  <si>
    <t>2018 Bonded Acres (A&amp;P)</t>
  </si>
  <si>
    <t>2018 Bonded Acres (A&amp;P vs Co.)</t>
  </si>
  <si>
    <t>not counted</t>
  </si>
  <si>
    <t>= increased production over 2017</t>
  </si>
  <si>
    <t>= decreased production over 2017</t>
  </si>
  <si>
    <t>= ceased production - year</t>
  </si>
  <si>
    <t>2003</t>
  </si>
  <si>
    <t>$Cost or Yr released</t>
  </si>
  <si>
    <t>2016</t>
  </si>
  <si>
    <t>1996</t>
  </si>
  <si>
    <t>= reclamation only since year</t>
  </si>
  <si>
    <t>released from bond</t>
  </si>
  <si>
    <t>mines with bonded acres</t>
  </si>
  <si>
    <t>ceased production in 2018</t>
  </si>
  <si>
    <t>ceased production in previous years</t>
  </si>
  <si>
    <t>new production</t>
  </si>
  <si>
    <t>light greenhighlighted #s are values used in letter</t>
  </si>
  <si>
    <t>San Miguel FGH Mine</t>
  </si>
  <si>
    <r>
      <t xml:space="preserve">% production decrease in Texas </t>
    </r>
    <r>
      <rPr>
        <u/>
        <sz val="10"/>
        <rFont val="Arial"/>
        <family val="2"/>
      </rPr>
      <t>from OSM</t>
    </r>
    <r>
      <rPr>
        <sz val="10"/>
        <rFont val="Arial"/>
        <family val="2"/>
      </rPr>
      <t xml:space="preserve"> values over previous year</t>
    </r>
  </si>
  <si>
    <t>OSM sum for TX S&amp;L 2018=26157997.46</t>
  </si>
  <si>
    <t>% change from 2017 based on EIA production data for TX is a 31.8% decease, for US is 2.5% decrease</t>
  </si>
  <si>
    <t>Difference in acres mined btwn last and this year</t>
  </si>
  <si>
    <t xml:space="preserve">% difference in acres mined btwn last and this year  </t>
  </si>
  <si>
    <r>
      <t xml:space="preserve">San Miguel Area FGH Mine </t>
    </r>
    <r>
      <rPr>
        <b/>
        <sz val="13"/>
        <color rgb="FF0070C0"/>
        <rFont val="Arial"/>
        <family val="2"/>
      </rPr>
      <t>(60)</t>
    </r>
  </si>
  <si>
    <t xml:space="preserve">* Reported values may vary from year to year based on information received after initial publishing.    </t>
  </si>
  <si>
    <t>2019 Production (Short Tons)</t>
  </si>
  <si>
    <t>2019 Bonded Acres (A&amp;P)</t>
  </si>
  <si>
    <t>2019 Bonded Acres (A&amp;P vs Co.)</t>
  </si>
  <si>
    <t>= increased production over 2018</t>
  </si>
  <si>
    <t>= decreased production over 2018</t>
  </si>
  <si>
    <t>2019</t>
  </si>
  <si>
    <t>2019(2018)</t>
  </si>
  <si>
    <t>OSM sum for TX S&amp;L 2019, see OSM sheet</t>
  </si>
  <si>
    <t xml:space="preserve">Year  </t>
  </si>
  <si>
    <t xml:space="preserve">Texas Production </t>
  </si>
  <si>
    <t>(million tons)</t>
  </si>
  <si>
    <t xml:space="preserve"> (%)</t>
  </si>
  <si>
    <t>(million tons)*</t>
  </si>
  <si>
    <t xml:space="preserve"> Out-of-State </t>
  </si>
  <si>
    <t>Percent</t>
  </si>
  <si>
    <t xml:space="preserve">Imported from  </t>
  </si>
  <si>
    <t>Out-of-State</t>
  </si>
  <si>
    <t>Total Consumption for</t>
  </si>
  <si>
    <t xml:space="preserve"> Power Generation</t>
  </si>
  <si>
    <t>=R55-F49 / F49 (*100 or formatted as 'percentage')</t>
  </si>
  <si>
    <t>=R56 / OSM net total for previous year (*100 or formatted as 'percentage')</t>
  </si>
  <si>
    <t>=this year's production reported to OSM</t>
  </si>
  <si>
    <r>
      <t>= released from bond; not counted</t>
    </r>
    <r>
      <rPr>
        <b/>
        <sz val="14"/>
        <rFont val="Times New Roman"/>
        <family val="1"/>
      </rPr>
      <t xml:space="preserve"> on this sheet</t>
    </r>
  </si>
  <si>
    <t>% increase/ decrease, year stopped mining, or year released from bond</t>
  </si>
  <si>
    <t>Producing mines</t>
  </si>
  <si>
    <t>=never miined, but thas disturbed</t>
  </si>
  <si>
    <t>released from bond, Palafox</t>
  </si>
  <si>
    <t>ceased production in 2019; SMECI , 52C (possibly 2018, but not counted then); and Martin Lake Mine</t>
  </si>
  <si>
    <t>renewal dismissed, permit expired?, never mined, but did disturb some.</t>
  </si>
  <si>
    <t>$Cost</t>
  </si>
  <si>
    <t>?</t>
  </si>
  <si>
    <t>2020 Production (Short Tons)</t>
  </si>
  <si>
    <t>2020 Bonded Acres (A&amp;P)</t>
  </si>
  <si>
    <t>2020 Bonded Acres (A&amp;P vs Co.)</t>
  </si>
  <si>
    <t>non-mining permit (facilites only), 2020 dropped MM facilites permit</t>
  </si>
  <si>
    <t>= decreased production over 2019</t>
  </si>
  <si>
    <t>= increased production over 2019</t>
  </si>
  <si>
    <t>ceased production [2020=Eagle Pass, Marshall]</t>
  </si>
  <si>
    <t>= disolved; consolidted into another permit</t>
  </si>
  <si>
    <t>= yet to start production</t>
  </si>
  <si>
    <t>=never mined, but has disturbed</t>
  </si>
  <si>
    <t>CHECK THIS</t>
  </si>
  <si>
    <t xml:space="preserve">released from bond,(2020-Marshall facilities consolidation) </t>
  </si>
  <si>
    <t>58A</t>
  </si>
  <si>
    <t>59A</t>
  </si>
  <si>
    <t>33I</t>
  </si>
  <si>
    <t>49C</t>
  </si>
  <si>
    <t>50C</t>
  </si>
  <si>
    <r>
      <t xml:space="preserve">Marshall Mine </t>
    </r>
    <r>
      <rPr>
        <b/>
        <sz val="13"/>
        <color rgb="FF0070C0"/>
        <rFont val="Arial"/>
        <family val="2"/>
      </rPr>
      <t>(59A)</t>
    </r>
  </si>
  <si>
    <r>
      <t xml:space="preserve">S. Hallsville No. 1  </t>
    </r>
    <r>
      <rPr>
        <b/>
        <sz val="13"/>
        <color rgb="FF0070C0"/>
        <rFont val="Arial"/>
        <family val="2"/>
      </rPr>
      <t>(33I)</t>
    </r>
  </si>
  <si>
    <r>
      <t xml:space="preserve">Rusk </t>
    </r>
    <r>
      <rPr>
        <b/>
        <sz val="13"/>
        <color rgb="FF0070C0"/>
        <rFont val="Arial"/>
        <family val="2"/>
      </rPr>
      <t>(55A)</t>
    </r>
  </si>
  <si>
    <r>
      <t xml:space="preserve">Bremond Mine </t>
    </r>
    <r>
      <rPr>
        <b/>
        <sz val="13"/>
        <color rgb="FF0070C0"/>
        <rFont val="Arial"/>
        <family val="2"/>
      </rPr>
      <t>(49C)</t>
    </r>
  </si>
  <si>
    <r>
      <t xml:space="preserve">Kosse Mine </t>
    </r>
    <r>
      <rPr>
        <b/>
        <sz val="13"/>
        <color rgb="FF0070C0"/>
        <rFont val="Arial"/>
        <family val="2"/>
      </rPr>
      <t>(50C)</t>
    </r>
  </si>
  <si>
    <r>
      <t xml:space="preserve">Liberty Mine </t>
    </r>
    <r>
      <rPr>
        <b/>
        <sz val="13"/>
        <color rgb="FF0070C0"/>
        <rFont val="Arial"/>
        <family val="2"/>
      </rPr>
      <t>(58A)</t>
    </r>
  </si>
  <si>
    <t>THA1,</t>
  </si>
  <si>
    <t>MLaivs,</t>
  </si>
  <si>
    <t>TU,TO,</t>
  </si>
  <si>
    <t>TH,</t>
  </si>
  <si>
    <t>BB,</t>
  </si>
  <si>
    <t>LE, BR</t>
  </si>
  <si>
    <t>ML</t>
  </si>
  <si>
    <t>SM52,</t>
  </si>
  <si>
    <t>MW,JMe/f</t>
  </si>
  <si>
    <t>OH,JM32</t>
  </si>
  <si>
    <t>MM,EP</t>
  </si>
  <si>
    <t>SM60</t>
  </si>
  <si>
    <t>EP</t>
  </si>
  <si>
    <t>begin</t>
  </si>
  <si>
    <t>mining</t>
  </si>
  <si>
    <t xml:space="preserve">ended </t>
  </si>
  <si>
    <t>SMxyz</t>
  </si>
  <si>
    <t>not yet/ever?</t>
  </si>
  <si>
    <t>new</t>
  </si>
  <si>
    <t>mine</t>
  </si>
  <si>
    <t xml:space="preserve">expanded </t>
  </si>
  <si>
    <t>acreage</t>
  </si>
  <si>
    <t>KM,BR</t>
  </si>
  <si>
    <t>THA1,LB</t>
  </si>
  <si>
    <t>RM</t>
  </si>
  <si>
    <t>MM</t>
  </si>
  <si>
    <t>Column1</t>
  </si>
  <si>
    <t>Column2</t>
  </si>
  <si>
    <t>SUM Year</t>
  </si>
  <si>
    <t>QC check</t>
  </si>
  <si>
    <t>just sums of multiples</t>
  </si>
  <si>
    <t>2021 Production (Short Tons)</t>
  </si>
  <si>
    <t>2021 Bonded Acres (A&amp;P)</t>
  </si>
  <si>
    <t>2021 Bonded Acres (A&amp;P vs Co.)</t>
  </si>
  <si>
    <t>= never mined, but has disturbed</t>
  </si>
  <si>
    <t xml:space="preserve">released from bond (2021-Trevino) </t>
  </si>
  <si>
    <t>32H</t>
  </si>
  <si>
    <t>47B</t>
  </si>
  <si>
    <t>11H</t>
  </si>
  <si>
    <t>27I</t>
  </si>
  <si>
    <r>
      <t xml:space="preserve">Jewett  </t>
    </r>
    <r>
      <rPr>
        <b/>
        <sz val="13"/>
        <color rgb="FF0070C0"/>
        <rFont val="Arial"/>
        <family val="2"/>
      </rPr>
      <t>(32H)</t>
    </r>
  </si>
  <si>
    <r>
      <t xml:space="preserve">Jewett E/F  </t>
    </r>
    <r>
      <rPr>
        <b/>
        <sz val="13"/>
        <color rgb="FF0070C0"/>
        <rFont val="Arial"/>
        <family val="2"/>
      </rPr>
      <t>(47B)</t>
    </r>
  </si>
  <si>
    <r>
      <t xml:space="preserve">San Miguel Mine  </t>
    </r>
    <r>
      <rPr>
        <b/>
        <sz val="13"/>
        <color rgb="FF0070C0"/>
        <rFont val="Arial"/>
        <family val="2"/>
      </rPr>
      <t>(11H)</t>
    </r>
  </si>
  <si>
    <r>
      <t xml:space="preserve">Calvert  </t>
    </r>
    <r>
      <rPr>
        <b/>
        <sz val="13"/>
        <color rgb="FF0070C0"/>
        <rFont val="Arial"/>
        <family val="2"/>
      </rPr>
      <t>(27I)</t>
    </r>
  </si>
  <si>
    <t>SMxyzStill pending</t>
  </si>
  <si>
    <t>CM</t>
  </si>
  <si>
    <t>Pre-2011</t>
  </si>
  <si>
    <t xml:space="preserve">this </t>
  </si>
  <si>
    <t xml:space="preserve">cumulative </t>
  </si>
  <si>
    <t>column</t>
  </si>
  <si>
    <t xml:space="preserve"> for</t>
  </si>
  <si>
    <t>Jewett Mine LLC</t>
  </si>
  <si>
    <t>*  Fees are calculated in accordance with §12.108(b) at $6,170 per permit and $12.85 per bonded acre on December 31, 2021.</t>
  </si>
  <si>
    <t>PRODUCTION FOR ELECTRIC GENERATION</t>
  </si>
  <si>
    <t>Color Codes for Column O</t>
  </si>
  <si>
    <t>mined</t>
  </si>
  <si>
    <t>Tr</t>
  </si>
  <si>
    <t>Released</t>
  </si>
  <si>
    <t>Sa</t>
  </si>
  <si>
    <t>Pa</t>
  </si>
  <si>
    <t>Da</t>
  </si>
  <si>
    <t>= released from bond; not counted on this sheet</t>
  </si>
  <si>
    <t>total permitted mines</t>
  </si>
  <si>
    <t>ceased production (Liberty ceased 11/27) per I&amp;E</t>
  </si>
  <si>
    <t>LB</t>
  </si>
  <si>
    <t>DITTO</t>
  </si>
  <si>
    <t>* Cummulative production totals include amounts from mines no longer shown above</t>
  </si>
  <si>
    <t>=down vs across for AX51 total check</t>
  </si>
  <si>
    <t>Percent
 (%)</t>
  </si>
  <si>
    <t>Used in Electricity Production
(million tons)</t>
  </si>
  <si>
    <t>2015-2020</t>
  </si>
  <si>
    <t xml:space="preserve">use </t>
  </si>
  <si>
    <t>Marshall</t>
  </si>
  <si>
    <t xml:space="preserve"> Production</t>
  </si>
  <si>
    <t>of previous years</t>
  </si>
  <si>
    <t>=F49-F50, last yrs's OSM # minus this years</t>
  </si>
  <si>
    <t>=OSM net total for previous yr nationwide - current yr OSM net total nationwide</t>
  </si>
  <si>
    <t>Non-Electric production</t>
  </si>
  <si>
    <t xml:space="preserve">annual consumption available on EIA on 3/24 </t>
  </si>
  <si>
    <t>Annual Prod</t>
  </si>
  <si>
    <t>preliminary #s</t>
  </si>
  <si>
    <t>imported OoS</t>
  </si>
  <si>
    <r>
      <t>Darco</t>
    </r>
    <r>
      <rPr>
        <sz val="9"/>
        <rFont val="Arial"/>
        <family val="2"/>
      </rPr>
      <t xml:space="preserve"> (non-elec.) purchased from So. Hallsville</t>
    </r>
  </si>
  <si>
    <t xml:space="preserve">    For either production or consumption total, one can use a regression equation to guestimate annual totals, based on weekly and/or quarterly numbers if report is needed before EIS annual data is published</t>
  </si>
  <si>
    <r>
      <t xml:space="preserve">estimate from website for EIA Data (Table 2. </t>
    </r>
    <r>
      <rPr>
        <b/>
        <sz val="10"/>
        <rFont val="Arial"/>
        <family val="2"/>
      </rPr>
      <t xml:space="preserve"> Coal PRODUCTION </t>
    </r>
    <r>
      <rPr>
        <sz val="10"/>
        <rFont val="Arial"/>
        <family val="2"/>
      </rPr>
      <t>by State)</t>
    </r>
  </si>
  <si>
    <r>
      <t xml:space="preserve">Total Texas </t>
    </r>
    <r>
      <rPr>
        <b/>
        <sz val="10"/>
        <rFont val="Arial"/>
        <family val="2"/>
      </rPr>
      <t>CONSUMPTION</t>
    </r>
    <r>
      <rPr>
        <sz val="10"/>
        <rFont val="Arial"/>
        <family val="2"/>
      </rPr>
      <t xml:space="preserve"> for Electric Power</t>
    </r>
  </si>
  <si>
    <t>Annual Production
  (million tons)</t>
  </si>
  <si>
    <t xml:space="preserve">State Ranking     </t>
  </si>
  <si>
    <t xml:space="preserve">(by tonnage)    </t>
  </si>
  <si>
    <r>
      <t xml:space="preserve">% production </t>
    </r>
    <r>
      <rPr>
        <sz val="10"/>
        <color rgb="FFFF0000"/>
        <rFont val="Arial"/>
        <family val="2"/>
      </rPr>
      <t>increase</t>
    </r>
    <r>
      <rPr>
        <sz val="10"/>
        <rFont val="Arial"/>
        <family val="2"/>
      </rPr>
      <t xml:space="preserve"> nationwide from OSM values over previous year</t>
    </r>
  </si>
  <si>
    <r>
      <t>net Tx</t>
    </r>
    <r>
      <rPr>
        <sz val="10"/>
        <color rgb="FFFF0000"/>
        <rFont val="Arial"/>
        <family val="2"/>
      </rPr>
      <t xml:space="preserve"> decrease</t>
    </r>
  </si>
  <si>
    <r>
      <t xml:space="preserve">net total </t>
    </r>
    <r>
      <rPr>
        <sz val="10"/>
        <color rgb="FFFF0000"/>
        <rFont val="Arial"/>
        <family val="2"/>
      </rPr>
      <t>increased</t>
    </r>
  </si>
  <si>
    <t>CHECKED 5/2</t>
  </si>
  <si>
    <t>LE, BR (just in exploration)</t>
  </si>
  <si>
    <t>For next list light green-highlighted #s are values used in letter</t>
  </si>
  <si>
    <r>
      <t xml:space="preserve">In </t>
    </r>
    <r>
      <rPr>
        <i/>
        <u/>
        <sz val="11"/>
        <rFont val="Arial"/>
        <family val="2"/>
      </rPr>
      <t>Annual Prod thru 20XX</t>
    </r>
    <r>
      <rPr>
        <sz val="11"/>
        <rFont val="Arial"/>
        <family val="2"/>
      </rPr>
      <t xml:space="preserve"> -sheet, Darco table is not used after 2001; instead, totals from this table are used from 2002 thru 2014, then Marshall totals are used for the the years 2015 thru 2020; but the cummulative production total in Cell AC18 (this sheet) is used for the cumulative grand total (vertical summation) on </t>
    </r>
    <r>
      <rPr>
        <i/>
        <u/>
        <sz val="11"/>
        <rFont val="Arial"/>
        <family val="2"/>
      </rPr>
      <t>Annual Prod thru 20XX</t>
    </r>
    <r>
      <rPr>
        <sz val="11"/>
        <rFont val="Arial"/>
        <family val="2"/>
      </rPr>
      <t xml:space="preserve"> -sheet. </t>
    </r>
  </si>
  <si>
    <t>1000 short tons</t>
  </si>
  <si>
    <t>&amp; update</t>
  </si>
  <si>
    <t xml:space="preserve">EIA recheck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</si>
</sst>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m\ d\,\ yyyy"/>
    <numFmt numFmtId="165" formatCode="0;[Red]0"/>
    <numFmt numFmtId="166" formatCode="&quot;$&quot;#,##0.00"/>
    <numFmt numFmtId="167" formatCode="#,##0.0000"/>
    <numFmt numFmtId="168" formatCode="#,##0.0"/>
    <numFmt numFmtId="169" formatCode="#,##0.0;[Red]#,##0.0"/>
    <numFmt numFmtId="170" formatCode="&quot;$&quot;#,##0.00;[Red]&quot;$&quot;#,##0.00"/>
    <numFmt numFmtId="171" formatCode="0.0%"/>
    <numFmt numFmtId="172" formatCode="&quot;$&quot;#,##0;[Red]&quot;$&quot;#,##0"/>
    <numFmt numFmtId="173" formatCode="&quot;$&quot;\ \ #,##0.00_);\(&quot;$&quot;#,##0.00\)"/>
    <numFmt numFmtId="174" formatCode="#,##0.00;[Red]#,##0.00"/>
    <numFmt numFmtId="175" formatCode="0_);\(0\)"/>
    <numFmt numFmtId="176" formatCode="#,##0.000"/>
    <numFmt numFmtId="177" formatCode="_(* #,##0_);_(* \(#,##0\);_(* &quot;-&quot;??_);_(@_)"/>
    <numFmt numFmtId="178" formatCode="#,##0.0_);[Red]\(#,##0.0\)"/>
    <numFmt numFmtId="179" formatCode="0.00_);[Red]\(0.00\)"/>
  </numFmts>
  <fonts count="78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name val="Courier"/>
      <family val="3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10"/>
      <name val="CG Times"/>
      <family val="1"/>
    </font>
    <font>
      <sz val="14"/>
      <name val="CG Times"/>
      <family val="1"/>
    </font>
    <font>
      <sz val="11"/>
      <name val="CG Times"/>
      <family val="1"/>
      <charset val="238"/>
    </font>
    <font>
      <b/>
      <sz val="11"/>
      <name val="CG Times"/>
      <family val="1"/>
      <charset val="238"/>
    </font>
    <font>
      <b/>
      <i/>
      <sz val="11"/>
      <name val="CG Times"/>
      <family val="1"/>
      <charset val="238"/>
    </font>
    <font>
      <i/>
      <sz val="11"/>
      <name val="CG Times"/>
      <family val="1"/>
      <charset val="238"/>
    </font>
    <font>
      <b/>
      <sz val="14"/>
      <name val="CG Times"/>
      <family val="1"/>
    </font>
    <font>
      <sz val="11"/>
      <name val="CG Times"/>
      <family val="1"/>
    </font>
    <font>
      <b/>
      <sz val="11"/>
      <name val="CG Times"/>
      <family val="1"/>
    </font>
    <font>
      <b/>
      <sz val="12"/>
      <name val="CG Times"/>
      <family val="1"/>
      <charset val="238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b/>
      <sz val="12"/>
      <name val="CG Times"/>
      <family val="1"/>
    </font>
    <font>
      <b/>
      <u/>
      <sz val="11"/>
      <name val="CG Times"/>
      <family val="1"/>
    </font>
    <font>
      <sz val="12"/>
      <name val="CG Times"/>
      <family val="1"/>
    </font>
    <font>
      <sz val="12"/>
      <name val="Arial"/>
      <family val="2"/>
    </font>
    <font>
      <sz val="11"/>
      <name val="Arial"/>
      <family val="2"/>
    </font>
    <font>
      <b/>
      <sz val="11"/>
      <name val="CG Times"/>
      <family val="1"/>
    </font>
    <font>
      <sz val="14"/>
      <name val="Arial"/>
      <family val="2"/>
    </font>
    <font>
      <b/>
      <sz val="14"/>
      <name val="CG Times"/>
      <family val="1"/>
    </font>
    <font>
      <sz val="14"/>
      <name val="@Arial Unicode MS"/>
      <family val="2"/>
    </font>
    <font>
      <b/>
      <sz val="14"/>
      <name val="Times New Roman"/>
      <family val="1"/>
    </font>
    <font>
      <sz val="14"/>
      <name val="Times New Roman"/>
      <family val="1"/>
    </font>
    <font>
      <u/>
      <sz val="10"/>
      <name val="Arial"/>
      <family val="2"/>
    </font>
    <font>
      <sz val="14"/>
      <name val="Arial"/>
      <family val="2"/>
    </font>
    <font>
      <u/>
      <sz val="14"/>
      <name val="CG Times"/>
      <family val="1"/>
    </font>
    <font>
      <sz val="14"/>
      <name val="CG Times"/>
      <family val="1"/>
    </font>
    <font>
      <u/>
      <sz val="14"/>
      <name val="Times New Roman"/>
      <family val="1"/>
    </font>
    <font>
      <vertAlign val="superscript"/>
      <sz val="11"/>
      <name val="Times New Roman"/>
      <family val="1"/>
    </font>
    <font>
      <vertAlign val="superscript"/>
      <sz val="16"/>
      <name val="Times New Roman"/>
      <family val="1"/>
    </font>
    <font>
      <b/>
      <sz val="10"/>
      <name val="Times New Roman"/>
      <family val="1"/>
    </font>
    <font>
      <b/>
      <u/>
      <sz val="12"/>
      <name val="Arial"/>
      <family val="2"/>
    </font>
    <font>
      <sz val="11"/>
      <color rgb="FF006100"/>
      <name val="Calibri"/>
      <family val="2"/>
      <scheme val="minor"/>
    </font>
    <font>
      <b/>
      <u/>
      <sz val="10"/>
      <name val="Arial"/>
      <family val="2"/>
    </font>
    <font>
      <b/>
      <sz val="13"/>
      <name val="Arial"/>
      <family val="2"/>
    </font>
    <font>
      <b/>
      <sz val="13"/>
      <color rgb="FF0070C0"/>
      <name val="Arial"/>
      <family val="2"/>
    </font>
    <font>
      <sz val="13"/>
      <name val="Arial"/>
      <family val="2"/>
    </font>
    <font>
      <sz val="13"/>
      <color indexed="44"/>
      <name val="Arial"/>
      <family val="2"/>
    </font>
    <font>
      <b/>
      <sz val="13"/>
      <color indexed="44"/>
      <name val="Arial"/>
      <family val="2"/>
    </font>
    <font>
      <b/>
      <sz val="14"/>
      <color theme="6" tint="-0.249977111117893"/>
      <name val="Times New Roman"/>
      <family val="1"/>
    </font>
    <font>
      <b/>
      <u/>
      <sz val="14"/>
      <color theme="6" tint="-0.249977111117893"/>
      <name val="Times New Roman"/>
      <family val="1"/>
    </font>
    <font>
      <sz val="10"/>
      <name val="Arial"/>
      <family val="2"/>
    </font>
    <font>
      <b/>
      <sz val="12"/>
      <color rgb="FFC00000"/>
      <name val="Arial"/>
      <family val="2"/>
    </font>
    <font>
      <b/>
      <sz val="14"/>
      <color rgb="FFC00000"/>
      <name val="Times New Roman"/>
      <family val="1"/>
    </font>
    <font>
      <b/>
      <sz val="10"/>
      <color rgb="FFC00000"/>
      <name val="Arial"/>
      <family val="2"/>
    </font>
    <font>
      <sz val="12"/>
      <color theme="6" tint="-0.249977111117893"/>
      <name val="Arial"/>
      <family val="2"/>
    </font>
    <font>
      <sz val="12"/>
      <color rgb="FFC00000"/>
      <name val="Arial"/>
      <family val="2"/>
    </font>
    <font>
      <sz val="12"/>
      <name val="Times New Roman"/>
      <family val="1"/>
    </font>
    <font>
      <b/>
      <sz val="16"/>
      <color rgb="FFC00000"/>
      <name val="Arial"/>
      <family val="2"/>
    </font>
    <font>
      <sz val="7"/>
      <name val="Arial"/>
      <family val="2"/>
    </font>
    <font>
      <sz val="10"/>
      <name val="Arial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CG Times"/>
    </font>
    <font>
      <b/>
      <sz val="14"/>
      <color rgb="FFFF0000"/>
      <name val="Times New Roman"/>
      <family val="1"/>
    </font>
    <font>
      <sz val="10"/>
      <color rgb="FFFF0000"/>
      <name val="Arial"/>
      <family val="2"/>
    </font>
    <font>
      <sz val="12"/>
      <color rgb="FF7030A0"/>
      <name val="Arial"/>
      <family val="2"/>
    </font>
    <font>
      <b/>
      <sz val="12"/>
      <color rgb="FF7030A0"/>
      <name val="Arial"/>
      <family val="2"/>
    </font>
    <font>
      <b/>
      <sz val="9"/>
      <name val="Times New Roman"/>
      <family val="1"/>
    </font>
    <font>
      <b/>
      <sz val="14"/>
      <color theme="5" tint="0.79998168889431442"/>
      <name val="Times New Roman"/>
      <family val="1"/>
    </font>
    <font>
      <b/>
      <sz val="12"/>
      <color rgb="FFFF0000"/>
      <name val="Times New Roman"/>
      <family val="1"/>
    </font>
    <font>
      <b/>
      <u/>
      <sz val="12"/>
      <color rgb="FF7030A0"/>
      <name val="Arial"/>
      <family val="2"/>
    </font>
    <font>
      <i/>
      <u/>
      <sz val="11"/>
      <name val="Arial"/>
      <family val="2"/>
    </font>
    <font>
      <b/>
      <sz val="10"/>
      <color rgb="FFFF0000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indexed="47"/>
        <bgColor indexed="32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22"/>
      </patternFill>
    </fill>
    <fill>
      <patternFill patternType="solid">
        <fgColor indexed="9"/>
        <bgColor indexed="32"/>
      </patternFill>
    </fill>
    <fill>
      <patternFill patternType="solid">
        <fgColor indexed="44"/>
        <bgColor indexed="32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32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32"/>
      </patternFill>
    </fill>
    <fill>
      <patternFill patternType="solid">
        <fgColor indexed="13"/>
        <bgColor indexed="22"/>
      </patternFill>
    </fill>
    <fill>
      <patternFill patternType="solid">
        <fgColor indexed="42"/>
        <bgColor indexed="22"/>
      </patternFill>
    </fill>
    <fill>
      <patternFill patternType="solid">
        <fgColor indexed="13"/>
        <bgColor indexed="64"/>
      </patternFill>
    </fill>
    <fill>
      <patternFill patternType="solid">
        <fgColor theme="3" tint="0.59996337778862885"/>
        <bgColor indexed="32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3" tint="0.59996337778862885"/>
        <bgColor indexed="9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6795556505021"/>
        <bgColor indexed="32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59996337778862885"/>
        <bgColor indexed="32"/>
      </patternFill>
    </fill>
    <fill>
      <patternFill patternType="solid">
        <fgColor theme="6" tint="0.59996337778862885"/>
        <bgColor indexed="22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indexed="32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39994506668294322"/>
        <bgColor indexed="22"/>
      </patternFill>
    </fill>
    <fill>
      <patternFill patternType="solid">
        <fgColor rgb="FFFFCC00"/>
        <bgColor indexed="64"/>
      </patternFill>
    </fill>
    <fill>
      <patternFill patternType="solid">
        <fgColor rgb="FFFFCC00"/>
        <bgColor indexed="2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indexed="3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CCFF"/>
        <bgColor indexed="32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304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55"/>
      </bottom>
      <diagonal/>
    </border>
    <border>
      <left style="dotted">
        <color indexed="55"/>
      </left>
      <right style="dotted">
        <color indexed="55"/>
      </right>
      <top/>
      <bottom style="dotted">
        <color indexed="55"/>
      </bottom>
      <diagonal/>
    </border>
    <border>
      <left style="dotted">
        <color indexed="55"/>
      </left>
      <right style="dotted">
        <color indexed="55"/>
      </right>
      <top style="thick">
        <color indexed="55"/>
      </top>
      <bottom/>
      <diagonal/>
    </border>
    <border>
      <left style="dotted">
        <color indexed="55"/>
      </left>
      <right style="dotted">
        <color indexed="55"/>
      </right>
      <top/>
      <bottom/>
      <diagonal/>
    </border>
    <border>
      <left style="dotted">
        <color indexed="55"/>
      </left>
      <right style="dotted">
        <color indexed="55"/>
      </right>
      <top/>
      <bottom style="medium">
        <color indexed="55"/>
      </bottom>
      <diagonal/>
    </border>
    <border>
      <left/>
      <right style="dotted">
        <color indexed="55"/>
      </right>
      <top style="thick">
        <color indexed="55"/>
      </top>
      <bottom/>
      <diagonal/>
    </border>
    <border>
      <left/>
      <right style="dotted">
        <color indexed="55"/>
      </right>
      <top/>
      <bottom/>
      <diagonal/>
    </border>
    <border>
      <left/>
      <right style="dotted">
        <color indexed="55"/>
      </right>
      <top/>
      <bottom style="medium">
        <color indexed="55"/>
      </bottom>
      <diagonal/>
    </border>
    <border>
      <left/>
      <right style="dotted">
        <color indexed="55"/>
      </right>
      <top/>
      <bottom style="dotted">
        <color indexed="55"/>
      </bottom>
      <diagonal/>
    </border>
    <border>
      <left style="thick">
        <color indexed="55"/>
      </left>
      <right/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dotted">
        <color indexed="22"/>
      </left>
      <right style="dotted">
        <color indexed="22"/>
      </right>
      <top style="medium">
        <color indexed="22"/>
      </top>
      <bottom style="dotted">
        <color indexed="22"/>
      </bottom>
      <diagonal/>
    </border>
    <border>
      <left style="dotted">
        <color indexed="22"/>
      </left>
      <right style="thick">
        <color indexed="22"/>
      </right>
      <top style="medium">
        <color indexed="22"/>
      </top>
      <bottom style="dotted">
        <color indexed="22"/>
      </bottom>
      <diagonal/>
    </border>
    <border>
      <left style="dotted">
        <color indexed="22"/>
      </left>
      <right style="dotted">
        <color indexed="22"/>
      </right>
      <top style="dotted">
        <color indexed="22"/>
      </top>
      <bottom style="dotted">
        <color indexed="22"/>
      </bottom>
      <diagonal/>
    </border>
    <border>
      <left style="dotted">
        <color indexed="22"/>
      </left>
      <right style="thick">
        <color indexed="22"/>
      </right>
      <top style="dotted">
        <color indexed="22"/>
      </top>
      <bottom style="dotted">
        <color indexed="22"/>
      </bottom>
      <diagonal/>
    </border>
    <border>
      <left style="thick">
        <color indexed="22"/>
      </left>
      <right/>
      <top style="medium">
        <color indexed="22"/>
      </top>
      <bottom style="dotted">
        <color indexed="22"/>
      </bottom>
      <diagonal/>
    </border>
    <border>
      <left/>
      <right style="medium">
        <color indexed="22"/>
      </right>
      <top style="medium">
        <color indexed="22"/>
      </top>
      <bottom style="dotted">
        <color indexed="22"/>
      </bottom>
      <diagonal/>
    </border>
    <border>
      <left style="thick">
        <color indexed="22"/>
      </left>
      <right/>
      <top style="dotted">
        <color indexed="22"/>
      </top>
      <bottom style="dotted">
        <color indexed="22"/>
      </bottom>
      <diagonal/>
    </border>
    <border>
      <left/>
      <right style="medium">
        <color indexed="22"/>
      </right>
      <top style="dotted">
        <color indexed="22"/>
      </top>
      <bottom style="dotted">
        <color indexed="22"/>
      </bottom>
      <diagonal/>
    </border>
    <border>
      <left style="dotted">
        <color indexed="55"/>
      </left>
      <right/>
      <top style="thick">
        <color indexed="55"/>
      </top>
      <bottom/>
      <diagonal/>
    </border>
    <border>
      <left style="dotted">
        <color indexed="55"/>
      </left>
      <right/>
      <top/>
      <bottom/>
      <diagonal/>
    </border>
    <border>
      <left style="dotted">
        <color indexed="22"/>
      </left>
      <right style="dotted">
        <color indexed="22"/>
      </right>
      <top style="thick">
        <color indexed="22"/>
      </top>
      <bottom/>
      <diagonal/>
    </border>
    <border>
      <left style="dotted">
        <color indexed="22"/>
      </left>
      <right style="thick">
        <color indexed="22"/>
      </right>
      <top style="thick">
        <color indexed="22"/>
      </top>
      <bottom/>
      <diagonal/>
    </border>
    <border>
      <left style="dotted">
        <color indexed="22"/>
      </left>
      <right style="dotted">
        <color indexed="22"/>
      </right>
      <top/>
      <bottom/>
      <diagonal/>
    </border>
    <border>
      <left style="dotted">
        <color indexed="22"/>
      </left>
      <right style="thick">
        <color indexed="22"/>
      </right>
      <top/>
      <bottom/>
      <diagonal/>
    </border>
    <border>
      <left style="dotted">
        <color indexed="22"/>
      </left>
      <right style="dotted">
        <color indexed="22"/>
      </right>
      <top/>
      <bottom style="medium">
        <color indexed="22"/>
      </bottom>
      <diagonal/>
    </border>
    <border>
      <left style="dotted">
        <color indexed="22"/>
      </left>
      <right style="thick">
        <color indexed="22"/>
      </right>
      <top/>
      <bottom style="medium">
        <color indexed="22"/>
      </bottom>
      <diagonal/>
    </border>
    <border>
      <left style="thick">
        <color indexed="22"/>
      </left>
      <right/>
      <top style="thick">
        <color indexed="22"/>
      </top>
      <bottom/>
      <diagonal/>
    </border>
    <border>
      <left/>
      <right style="medium">
        <color indexed="22"/>
      </right>
      <top style="thick">
        <color indexed="22"/>
      </top>
      <bottom/>
      <diagonal/>
    </border>
    <border>
      <left style="thick">
        <color indexed="22"/>
      </left>
      <right/>
      <top/>
      <bottom/>
      <diagonal/>
    </border>
    <border>
      <left/>
      <right style="medium">
        <color indexed="22"/>
      </right>
      <top/>
      <bottom/>
      <diagonal/>
    </border>
    <border>
      <left/>
      <right style="dotted">
        <color indexed="22"/>
      </right>
      <top style="dotted">
        <color indexed="22"/>
      </top>
      <bottom style="dotted">
        <color indexed="22"/>
      </bottom>
      <diagonal/>
    </border>
    <border>
      <left/>
      <right style="dotted">
        <color indexed="22"/>
      </right>
      <top style="medium">
        <color indexed="22"/>
      </top>
      <bottom style="dotted">
        <color indexed="22"/>
      </bottom>
      <diagonal/>
    </border>
    <border>
      <left style="thick">
        <color indexed="22"/>
      </left>
      <right/>
      <top style="dotted">
        <color indexed="22"/>
      </top>
      <bottom/>
      <diagonal/>
    </border>
    <border>
      <left/>
      <right style="medium">
        <color indexed="22"/>
      </right>
      <top style="dotted">
        <color indexed="22"/>
      </top>
      <bottom/>
      <diagonal/>
    </border>
    <border>
      <left/>
      <right style="dotted">
        <color indexed="22"/>
      </right>
      <top style="dotted">
        <color indexed="22"/>
      </top>
      <bottom/>
      <diagonal/>
    </border>
    <border>
      <left style="dotted">
        <color indexed="22"/>
      </left>
      <right style="dotted">
        <color indexed="22"/>
      </right>
      <top style="dotted">
        <color indexed="22"/>
      </top>
      <bottom/>
      <diagonal/>
    </border>
    <border>
      <left style="dotted">
        <color indexed="22"/>
      </left>
      <right style="thick">
        <color indexed="22"/>
      </right>
      <top style="dotted">
        <color indexed="22"/>
      </top>
      <bottom/>
      <diagonal/>
    </border>
    <border>
      <left style="thick">
        <color indexed="55"/>
      </left>
      <right/>
      <top style="dotted">
        <color indexed="55"/>
      </top>
      <bottom style="medium">
        <color indexed="55"/>
      </bottom>
      <diagonal/>
    </border>
    <border>
      <left/>
      <right style="medium">
        <color indexed="55"/>
      </right>
      <top style="dotted">
        <color indexed="55"/>
      </top>
      <bottom style="medium">
        <color indexed="55"/>
      </bottom>
      <diagonal/>
    </border>
    <border>
      <left/>
      <right style="dotted">
        <color indexed="55"/>
      </right>
      <top style="dotted">
        <color indexed="55"/>
      </top>
      <bottom style="medium">
        <color indexed="55"/>
      </bottom>
      <diagonal/>
    </border>
    <border>
      <left style="dotted">
        <color indexed="55"/>
      </left>
      <right style="dotted">
        <color indexed="55"/>
      </right>
      <top style="dotted">
        <color indexed="55"/>
      </top>
      <bottom style="medium">
        <color indexed="55"/>
      </bottom>
      <diagonal/>
    </border>
    <border>
      <left/>
      <right style="thick">
        <color indexed="55"/>
      </right>
      <top style="dotted">
        <color indexed="55"/>
      </top>
      <bottom style="medium">
        <color indexed="55"/>
      </bottom>
      <diagonal/>
    </border>
    <border>
      <left style="thick">
        <color indexed="22"/>
      </left>
      <right/>
      <top style="medium">
        <color indexed="22"/>
      </top>
      <bottom style="thick">
        <color indexed="22"/>
      </bottom>
      <diagonal/>
    </border>
    <border>
      <left/>
      <right style="medium">
        <color indexed="22"/>
      </right>
      <top style="medium">
        <color indexed="22"/>
      </top>
      <bottom style="thick">
        <color indexed="22"/>
      </bottom>
      <diagonal/>
    </border>
    <border>
      <left/>
      <right style="dotted">
        <color indexed="22"/>
      </right>
      <top style="medium">
        <color indexed="22"/>
      </top>
      <bottom style="thick">
        <color indexed="22"/>
      </bottom>
      <diagonal/>
    </border>
    <border>
      <left style="dotted">
        <color indexed="22"/>
      </left>
      <right style="dotted">
        <color indexed="22"/>
      </right>
      <top style="medium">
        <color indexed="22"/>
      </top>
      <bottom style="thick">
        <color indexed="22"/>
      </bottom>
      <diagonal/>
    </border>
    <border>
      <left style="dotted">
        <color indexed="22"/>
      </left>
      <right style="thick">
        <color indexed="22"/>
      </right>
      <top style="medium">
        <color indexed="22"/>
      </top>
      <bottom style="thick">
        <color indexed="22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dotted">
        <color indexed="55"/>
      </right>
      <top style="medium">
        <color indexed="55"/>
      </top>
      <bottom style="thick">
        <color indexed="55"/>
      </bottom>
      <diagonal/>
    </border>
    <border>
      <left style="dotted">
        <color indexed="55"/>
      </left>
      <right style="dotted">
        <color indexed="55"/>
      </right>
      <top style="medium">
        <color indexed="55"/>
      </top>
      <bottom style="thick">
        <color indexed="55"/>
      </bottom>
      <diagonal/>
    </border>
    <border>
      <left style="dotted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/>
      <bottom style="thick">
        <color indexed="55"/>
      </bottom>
      <diagonal/>
    </border>
    <border>
      <left style="thick">
        <color indexed="55"/>
      </left>
      <right/>
      <top style="thick">
        <color indexed="55"/>
      </top>
      <bottom/>
      <diagonal/>
    </border>
    <border>
      <left/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/>
      <top/>
      <bottom/>
      <diagonal/>
    </border>
    <border>
      <left/>
      <right style="medium">
        <color indexed="55"/>
      </right>
      <top/>
      <bottom/>
      <diagonal/>
    </border>
    <border>
      <left style="thick">
        <color indexed="55"/>
      </left>
      <right/>
      <top/>
      <bottom style="medium">
        <color indexed="55"/>
      </bottom>
      <diagonal/>
    </border>
    <border>
      <left/>
      <right style="medium">
        <color indexed="55"/>
      </right>
      <top/>
      <bottom style="medium">
        <color indexed="55"/>
      </bottom>
      <diagonal/>
    </border>
    <border>
      <left style="thick">
        <color indexed="55"/>
      </left>
      <right/>
      <top style="medium">
        <color indexed="55"/>
      </top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 style="thick">
        <color indexed="55"/>
      </left>
      <right/>
      <top style="dotted">
        <color indexed="55"/>
      </top>
      <bottom style="dotted">
        <color indexed="55"/>
      </bottom>
      <diagonal/>
    </border>
    <border>
      <left/>
      <right style="medium">
        <color indexed="55"/>
      </right>
      <top style="dotted">
        <color indexed="55"/>
      </top>
      <bottom style="dotted">
        <color indexed="55"/>
      </bottom>
      <diagonal/>
    </border>
    <border>
      <left/>
      <right style="dotted">
        <color indexed="55"/>
      </right>
      <top style="dotted">
        <color indexed="55"/>
      </top>
      <bottom style="dotted">
        <color indexed="55"/>
      </bottom>
      <diagonal/>
    </border>
    <border>
      <left style="dotted">
        <color indexed="55"/>
      </left>
      <right style="dotted">
        <color indexed="55"/>
      </right>
      <top style="dotted">
        <color indexed="55"/>
      </top>
      <bottom style="dotted">
        <color indexed="55"/>
      </bottom>
      <diagonal/>
    </border>
    <border>
      <left/>
      <right style="thick">
        <color indexed="55"/>
      </right>
      <top style="dotted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/>
      <diagonal/>
    </border>
    <border>
      <left/>
      <right style="thick">
        <color indexed="55"/>
      </right>
      <top/>
      <bottom/>
      <diagonal/>
    </border>
    <border>
      <left/>
      <right style="thick">
        <color indexed="55"/>
      </right>
      <top/>
      <bottom style="medium">
        <color indexed="55"/>
      </bottom>
      <diagonal/>
    </border>
    <border>
      <left style="dotted">
        <color indexed="55"/>
      </left>
      <right style="medium">
        <color indexed="55"/>
      </right>
      <top style="thick">
        <color indexed="55"/>
      </top>
      <bottom/>
      <diagonal/>
    </border>
    <border>
      <left style="dotted">
        <color indexed="55"/>
      </left>
      <right style="medium">
        <color indexed="55"/>
      </right>
      <top/>
      <bottom/>
      <diagonal/>
    </border>
    <border>
      <left style="dotted">
        <color indexed="55"/>
      </left>
      <right style="medium">
        <color indexed="55"/>
      </right>
      <top/>
      <bottom style="medium">
        <color indexed="55"/>
      </bottom>
      <diagonal/>
    </border>
    <border>
      <left style="dotted">
        <color indexed="55"/>
      </left>
      <right style="medium">
        <color indexed="55"/>
      </right>
      <top/>
      <bottom style="dotted">
        <color indexed="55"/>
      </bottom>
      <diagonal/>
    </border>
    <border>
      <left style="dotted">
        <color indexed="55"/>
      </left>
      <right style="medium">
        <color indexed="55"/>
      </right>
      <top style="dotted">
        <color indexed="55"/>
      </top>
      <bottom style="dotted">
        <color indexed="55"/>
      </bottom>
      <diagonal/>
    </border>
    <border>
      <left style="dotted">
        <color indexed="55"/>
      </left>
      <right style="medium">
        <color indexed="55"/>
      </right>
      <top style="dotted">
        <color indexed="55"/>
      </top>
      <bottom style="medium">
        <color indexed="55"/>
      </bottom>
      <diagonal/>
    </border>
    <border>
      <left style="dotted">
        <color indexed="55"/>
      </left>
      <right/>
      <top/>
      <bottom style="medium">
        <color indexed="55"/>
      </bottom>
      <diagonal/>
    </border>
    <border>
      <left/>
      <right/>
      <top style="thick">
        <color indexed="55"/>
      </top>
      <bottom/>
      <diagonal/>
    </border>
    <border>
      <left style="medium">
        <color indexed="55"/>
      </left>
      <right style="medium">
        <color indexed="55"/>
      </right>
      <top style="dotted">
        <color indexed="55"/>
      </top>
      <bottom style="dotted">
        <color indexed="55"/>
      </bottom>
      <diagonal/>
    </border>
    <border>
      <left style="medium">
        <color indexed="55"/>
      </left>
      <right style="medium">
        <color indexed="55"/>
      </right>
      <top style="thick">
        <color indexed="55"/>
      </top>
      <bottom/>
      <diagonal/>
    </border>
    <border>
      <left style="medium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 style="medium">
        <color indexed="55"/>
      </left>
      <right style="medium">
        <color indexed="55"/>
      </right>
      <top/>
      <bottom style="dotted">
        <color indexed="55"/>
      </bottom>
      <diagonal/>
    </border>
    <border>
      <left style="dotted">
        <color indexed="55"/>
      </left>
      <right/>
      <top/>
      <bottom style="dotted">
        <color indexed="55"/>
      </bottom>
      <diagonal/>
    </border>
    <border>
      <left style="dotted">
        <color indexed="55"/>
      </left>
      <right/>
      <top style="dotted">
        <color indexed="55"/>
      </top>
      <bottom style="dotted">
        <color indexed="55"/>
      </bottom>
      <diagonal/>
    </border>
    <border>
      <left style="dotted">
        <color indexed="55"/>
      </left>
      <right/>
      <top style="dotted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 style="dotted">
        <color indexed="55"/>
      </top>
      <bottom style="medium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medium">
        <color indexed="55"/>
      </top>
      <bottom style="dotted">
        <color indexed="55"/>
      </bottom>
      <diagonal/>
    </border>
    <border>
      <left/>
      <right/>
      <top style="dotted">
        <color indexed="55"/>
      </top>
      <bottom style="dotted">
        <color indexed="55"/>
      </bottom>
      <diagonal/>
    </border>
    <border>
      <left/>
      <right/>
      <top style="dotted">
        <color indexed="55"/>
      </top>
      <bottom style="medium">
        <color indexed="55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/>
      <top/>
      <bottom style="dotted">
        <color indexed="55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dotted">
        <color indexed="55"/>
      </bottom>
      <diagonal/>
    </border>
    <border>
      <left style="thick">
        <color indexed="64"/>
      </left>
      <right/>
      <top style="dotted">
        <color indexed="55"/>
      </top>
      <bottom style="dotted">
        <color indexed="55"/>
      </bottom>
      <diagonal/>
    </border>
    <border>
      <left style="hair">
        <color indexed="64"/>
      </left>
      <right style="thick">
        <color indexed="64"/>
      </right>
      <top style="dotted">
        <color indexed="55"/>
      </top>
      <bottom style="dotted">
        <color indexed="55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55"/>
      </left>
      <right style="dotted">
        <color indexed="22"/>
      </right>
      <top style="thick">
        <color indexed="64"/>
      </top>
      <bottom/>
      <diagonal/>
    </border>
    <border>
      <left style="dotted">
        <color indexed="22"/>
      </left>
      <right style="dotted">
        <color indexed="22"/>
      </right>
      <top style="thick">
        <color indexed="64"/>
      </top>
      <bottom/>
      <diagonal/>
    </border>
    <border>
      <left style="dotted">
        <color indexed="55"/>
      </left>
      <right style="dotted">
        <color indexed="55"/>
      </right>
      <top style="thick">
        <color indexed="64"/>
      </top>
      <bottom/>
      <diagonal/>
    </border>
    <border>
      <left style="dotted">
        <color indexed="55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55"/>
      </left>
      <right style="dotted">
        <color indexed="55"/>
      </right>
      <top/>
      <bottom style="thick">
        <color indexed="64"/>
      </bottom>
      <diagonal/>
    </border>
    <border>
      <left/>
      <right style="dotted">
        <color indexed="22"/>
      </right>
      <top/>
      <bottom style="thick">
        <color indexed="64"/>
      </bottom>
      <diagonal/>
    </border>
    <border>
      <left style="dotted">
        <color indexed="55"/>
      </left>
      <right style="dotted">
        <color indexed="55"/>
      </right>
      <top/>
      <bottom style="thick">
        <color indexed="64"/>
      </bottom>
      <diagonal/>
    </border>
    <border>
      <left style="dotted">
        <color indexed="55"/>
      </left>
      <right style="thick">
        <color indexed="64"/>
      </right>
      <top/>
      <bottom/>
      <diagonal/>
    </border>
    <border>
      <left style="thick">
        <color indexed="64"/>
      </left>
      <right/>
      <top style="dotted">
        <color indexed="55"/>
      </top>
      <bottom style="thick">
        <color indexed="64"/>
      </bottom>
      <diagonal/>
    </border>
    <border>
      <left/>
      <right style="medium">
        <color indexed="55"/>
      </right>
      <top style="dotted">
        <color indexed="55"/>
      </top>
      <bottom style="thick">
        <color indexed="64"/>
      </bottom>
      <diagonal/>
    </border>
    <border>
      <left style="dotted">
        <color indexed="55"/>
      </left>
      <right style="dotted">
        <color indexed="55"/>
      </right>
      <top style="dotted">
        <color indexed="55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dotted">
        <color indexed="55"/>
      </top>
      <bottom style="thick">
        <color indexed="64"/>
      </bottom>
      <diagonal/>
    </border>
    <border>
      <left style="medium">
        <color indexed="55"/>
      </left>
      <right style="thin">
        <color indexed="64"/>
      </right>
      <top style="dotted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64"/>
      </right>
      <top/>
      <bottom style="dotted">
        <color indexed="55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indexed="22"/>
      </left>
      <right style="thick">
        <color indexed="22"/>
      </right>
      <top style="dotted">
        <color indexed="22"/>
      </top>
      <bottom style="dotted">
        <color indexed="2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22"/>
      </left>
      <right style="dotted">
        <color indexed="22"/>
      </right>
      <top/>
      <bottom style="medium">
        <color indexed="64"/>
      </bottom>
      <diagonal/>
    </border>
    <border>
      <left style="dotted">
        <color indexed="22"/>
      </left>
      <right style="dotted">
        <color indexed="22"/>
      </right>
      <top style="double">
        <color indexed="64"/>
      </top>
      <bottom style="medium">
        <color indexed="64"/>
      </bottom>
      <diagonal/>
    </border>
    <border>
      <left style="dotted">
        <color indexed="22"/>
      </left>
      <right/>
      <top style="double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22"/>
      </left>
      <right style="dotted">
        <color indexed="22"/>
      </right>
      <top style="medium">
        <color indexed="64"/>
      </top>
      <bottom/>
      <diagonal/>
    </border>
    <border>
      <left style="dotted">
        <color indexed="22"/>
      </left>
      <right/>
      <top/>
      <bottom/>
      <diagonal/>
    </border>
    <border>
      <left style="dotted">
        <color indexed="22"/>
      </left>
      <right style="dotted">
        <color indexed="22"/>
      </right>
      <top style="thin">
        <color indexed="64"/>
      </top>
      <bottom/>
      <diagonal/>
    </border>
    <border>
      <left style="dotted">
        <color indexed="22"/>
      </left>
      <right/>
      <top style="thin">
        <color indexed="64"/>
      </top>
      <bottom/>
      <diagonal/>
    </border>
    <border>
      <left style="dotted">
        <color indexed="22"/>
      </left>
      <right style="dotted">
        <color indexed="22"/>
      </right>
      <top/>
      <bottom style="thin">
        <color indexed="64"/>
      </bottom>
      <diagonal/>
    </border>
    <border>
      <left style="dotted">
        <color indexed="22"/>
      </left>
      <right/>
      <top/>
      <bottom style="thin">
        <color indexed="64"/>
      </bottom>
      <diagonal/>
    </border>
    <border>
      <left/>
      <right style="dotted">
        <color indexed="22"/>
      </right>
      <top/>
      <bottom/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tted">
        <color indexed="22"/>
      </left>
      <right/>
      <top style="medium">
        <color indexed="64"/>
      </top>
      <bottom/>
      <diagonal/>
    </border>
    <border>
      <left style="dotted">
        <color indexed="22"/>
      </left>
      <right/>
      <top/>
      <bottom style="medium">
        <color indexed="64"/>
      </bottom>
      <diagonal/>
    </border>
    <border>
      <left style="dotted">
        <color indexed="22"/>
      </left>
      <right style="dotted">
        <color indexed="22"/>
      </right>
      <top style="medium">
        <color indexed="64"/>
      </top>
      <bottom style="dotted">
        <color indexed="22"/>
      </bottom>
      <diagonal/>
    </border>
    <border>
      <left style="dotted">
        <color indexed="22"/>
      </left>
      <right style="dotted">
        <color indexed="22"/>
      </right>
      <top style="dotted">
        <color indexed="2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dotted">
        <color indexed="22"/>
      </right>
      <top/>
      <bottom style="thin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 style="medium">
        <color indexed="64"/>
      </top>
      <bottom/>
      <diagonal/>
    </border>
    <border>
      <left style="hair">
        <color theme="0" tint="-0.34998626667073579"/>
      </left>
      <right style="hair">
        <color theme="0" tint="-0.34998626667073579"/>
      </right>
      <top/>
      <bottom style="medium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thin">
        <color indexed="64"/>
      </top>
      <bottom/>
      <diagonal/>
    </border>
    <border>
      <left style="hair">
        <color theme="0" tint="-0.34998626667073579"/>
      </left>
      <right style="hair">
        <color theme="0" tint="-0.34998626667073579"/>
      </right>
      <top/>
      <bottom style="thin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double">
        <color indexed="64"/>
      </bottom>
      <diagonal/>
    </border>
    <border>
      <left style="thick">
        <color indexed="55"/>
      </left>
      <right/>
      <top style="medium">
        <color indexed="64"/>
      </top>
      <bottom style="medium">
        <color auto="1"/>
      </bottom>
      <diagonal/>
    </border>
    <border>
      <left/>
      <right style="dotted">
        <color indexed="55"/>
      </right>
      <top style="medium">
        <color indexed="64"/>
      </top>
      <bottom style="medium">
        <color auto="1"/>
      </bottom>
      <diagonal/>
    </border>
    <border>
      <left style="dotted">
        <color indexed="55"/>
      </left>
      <right style="dotted">
        <color indexed="55"/>
      </right>
      <top style="medium">
        <color indexed="64"/>
      </top>
      <bottom style="medium">
        <color auto="1"/>
      </bottom>
      <diagonal/>
    </border>
    <border>
      <left style="dotted">
        <color indexed="55"/>
      </left>
      <right style="medium">
        <color indexed="55"/>
      </right>
      <top style="medium">
        <color indexed="64"/>
      </top>
      <bottom style="medium">
        <color auto="1"/>
      </bottom>
      <diagonal/>
    </border>
    <border>
      <left style="dotted">
        <color indexed="55"/>
      </left>
      <right/>
      <top style="medium">
        <color indexed="64"/>
      </top>
      <bottom style="medium">
        <color auto="1"/>
      </bottom>
      <diagonal/>
    </border>
    <border>
      <left style="dotted">
        <color indexed="55"/>
      </left>
      <right style="dashed">
        <color indexed="55"/>
      </right>
      <top style="medium">
        <color indexed="64"/>
      </top>
      <bottom style="medium">
        <color auto="1"/>
      </bottom>
      <diagonal/>
    </border>
    <border>
      <left style="dashed">
        <color indexed="55"/>
      </left>
      <right/>
      <top style="medium">
        <color indexed="64"/>
      </top>
      <bottom style="medium">
        <color auto="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thin">
        <color indexed="64"/>
      </bottom>
      <diagonal/>
    </border>
    <border>
      <left style="dotted">
        <color theme="0" tint="-0.24994659260841701"/>
      </left>
      <right style="dotted">
        <color theme="0" tint="-0.24994659260841701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 style="thin">
        <color indexed="64"/>
      </top>
      <bottom/>
      <diagonal/>
    </border>
    <border>
      <left style="hair">
        <color theme="0" tint="-0.14996795556505021"/>
      </left>
      <right style="hair">
        <color theme="0" tint="-0.14996795556505021"/>
      </right>
      <top/>
      <bottom/>
      <diagonal/>
    </border>
    <border>
      <left style="hair">
        <color theme="0" tint="-0.34998626667073579"/>
      </left>
      <right/>
      <top style="thin">
        <color indexed="64"/>
      </top>
      <bottom/>
      <diagonal/>
    </border>
    <border>
      <left style="hair">
        <color theme="0" tint="-0.34998626667073579"/>
      </left>
      <right/>
      <top/>
      <bottom style="thin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/>
      <diagonal/>
    </border>
    <border>
      <left style="hair">
        <color theme="0" tint="-0.24994659260841701"/>
      </left>
      <right style="hair">
        <color theme="0" tint="-0.24994659260841701"/>
      </right>
      <top style="thin">
        <color indexed="64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 style="double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/>
      <diagonal/>
    </border>
    <border>
      <left/>
      <right style="hair">
        <color theme="0" tint="-0.24994659260841701"/>
      </right>
      <top/>
      <bottom/>
      <diagonal/>
    </border>
    <border>
      <left/>
      <right style="hair">
        <color theme="0" tint="-0.24994659260841701"/>
      </right>
      <top style="thin">
        <color indexed="64"/>
      </top>
      <bottom/>
      <diagonal/>
    </border>
    <border>
      <left/>
      <right style="hair">
        <color theme="0" tint="-0.24994659260841701"/>
      </right>
      <top/>
      <bottom style="thin">
        <color indexed="64"/>
      </bottom>
      <diagonal/>
    </border>
    <border>
      <left/>
      <right style="hair">
        <color theme="0" tint="-0.24994659260841701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theme="0" tint="-0.24994659260841701"/>
      </right>
      <top style="medium">
        <color indexed="64"/>
      </top>
      <bottom style="medium">
        <color auto="1"/>
      </bottom>
      <diagonal/>
    </border>
    <border>
      <left/>
      <right style="medium">
        <color theme="0" tint="-0.24994659260841701"/>
      </right>
      <top style="medium">
        <color indexed="64"/>
      </top>
      <bottom/>
      <diagonal/>
    </border>
    <border>
      <left/>
      <right style="medium">
        <color theme="0" tint="-0.24994659260841701"/>
      </right>
      <top/>
      <bottom style="medium">
        <color indexed="64"/>
      </bottom>
      <diagonal/>
    </border>
    <border>
      <left/>
      <right style="medium">
        <color theme="0" tint="-0.24994659260841701"/>
      </right>
      <top/>
      <bottom/>
      <diagonal/>
    </border>
    <border>
      <left/>
      <right style="medium">
        <color theme="0" tint="-0.24994659260841701"/>
      </right>
      <top style="thin">
        <color indexed="64"/>
      </top>
      <bottom/>
      <diagonal/>
    </border>
    <border>
      <left/>
      <right style="medium">
        <color theme="0" tint="-0.24994659260841701"/>
      </right>
      <top/>
      <bottom style="thin">
        <color indexed="64"/>
      </bottom>
      <diagonal/>
    </border>
    <border>
      <left/>
      <right style="medium">
        <color theme="0" tint="-0.24994659260841701"/>
      </right>
      <top/>
      <bottom style="double">
        <color indexed="64"/>
      </bottom>
      <diagonal/>
    </border>
    <border>
      <left style="hair">
        <color indexed="64"/>
      </left>
      <right style="medium">
        <color theme="0" tint="-0.24994659260841701"/>
      </right>
      <top style="double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medium">
        <color auto="1"/>
      </bottom>
      <diagonal/>
    </border>
    <border>
      <left style="hair">
        <color theme="0" tint="-0.14996795556505021"/>
      </left>
      <right/>
      <top style="thin">
        <color indexed="64"/>
      </top>
      <bottom/>
      <diagonal/>
    </border>
    <border>
      <left style="hair">
        <color theme="0" tint="-0.14996795556505021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double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double">
        <color indexed="64"/>
      </top>
      <bottom style="medium">
        <color indexed="64"/>
      </bottom>
      <diagonal/>
    </border>
    <border>
      <left style="thin">
        <color theme="0" tint="-0.24994659260841701"/>
      </left>
      <right/>
      <top style="medium">
        <color indexed="64"/>
      </top>
      <bottom/>
      <diagonal/>
    </border>
    <border>
      <left style="thin">
        <color theme="0" tint="-0.24994659260841701"/>
      </left>
      <right/>
      <top/>
      <bottom style="medium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double">
        <color indexed="64"/>
      </bottom>
      <diagonal/>
    </border>
    <border>
      <left style="thin">
        <color theme="0" tint="-0.24994659260841701"/>
      </left>
      <right/>
      <top style="double">
        <color indexed="64"/>
      </top>
      <bottom style="medium">
        <color indexed="64"/>
      </bottom>
      <diagonal/>
    </border>
    <border>
      <left style="thin">
        <color theme="0" tint="-0.24994659260841701"/>
      </left>
      <right/>
      <top style="medium">
        <color indexed="64"/>
      </top>
      <bottom style="medium">
        <color auto="1"/>
      </bottom>
      <diagonal/>
    </border>
    <border>
      <left style="thin">
        <color theme="0" tint="-0.24994659260841701"/>
      </left>
      <right style="medium">
        <color auto="1"/>
      </right>
      <top style="medium">
        <color indexed="64"/>
      </top>
      <bottom style="medium">
        <color auto="1"/>
      </bottom>
      <diagonal/>
    </border>
    <border>
      <left style="thin">
        <color theme="0" tint="-0.24994659260841701"/>
      </left>
      <right style="medium">
        <color auto="1"/>
      </right>
      <top style="medium">
        <color indexed="64"/>
      </top>
      <bottom/>
      <diagonal/>
    </border>
    <border>
      <left style="thin">
        <color theme="0" tint="-0.24994659260841701"/>
      </left>
      <right style="medium">
        <color auto="1"/>
      </right>
      <top/>
      <bottom style="medium">
        <color indexed="64"/>
      </bottom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thin">
        <color theme="0" tint="-0.24994659260841701"/>
      </left>
      <right style="medium">
        <color auto="1"/>
      </right>
      <top style="thin">
        <color indexed="64"/>
      </top>
      <bottom/>
      <diagonal/>
    </border>
    <border>
      <left style="thin">
        <color theme="0" tint="-0.24994659260841701"/>
      </left>
      <right style="medium">
        <color auto="1"/>
      </right>
      <top style="double">
        <color indexed="64"/>
      </top>
      <bottom style="medium">
        <color indexed="64"/>
      </bottom>
      <diagonal/>
    </border>
    <border>
      <left style="hair">
        <color theme="0" tint="-0.34998626667073579"/>
      </left>
      <right style="dotted">
        <color indexed="22"/>
      </right>
      <top style="medium">
        <color indexed="64"/>
      </top>
      <bottom/>
      <diagonal/>
    </border>
    <border>
      <left style="hair">
        <color theme="0" tint="-0.34998626667073579"/>
      </left>
      <right style="dotted">
        <color indexed="22"/>
      </right>
      <top/>
      <bottom style="medium">
        <color indexed="64"/>
      </bottom>
      <diagonal/>
    </border>
    <border>
      <left style="medium">
        <color theme="0" tint="-0.24994659260841701"/>
      </left>
      <right style="hair">
        <color theme="0" tint="-0.24994659260841701"/>
      </right>
      <top style="medium">
        <color indexed="64"/>
      </top>
      <bottom/>
      <diagonal/>
    </border>
    <border>
      <left style="medium">
        <color theme="0" tint="-0.24994659260841701"/>
      </left>
      <right style="hair">
        <color theme="0" tint="-0.24994659260841701"/>
      </right>
      <top/>
      <bottom style="medium">
        <color indexed="64"/>
      </bottom>
      <diagonal/>
    </border>
    <border>
      <left style="hair">
        <color theme="0" tint="-0.24994659260841701"/>
      </left>
      <right style="hair">
        <color theme="0" tint="-0.34998626667073579"/>
      </right>
      <top style="medium">
        <color indexed="64"/>
      </top>
      <bottom/>
      <diagonal/>
    </border>
    <border>
      <left style="hair">
        <color theme="0" tint="-0.24994659260841701"/>
      </left>
      <right style="hair">
        <color theme="0" tint="-0.34998626667073579"/>
      </right>
      <top/>
      <bottom style="medium">
        <color indexed="64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ck">
        <color indexed="64"/>
      </bottom>
      <diagonal/>
    </border>
    <border>
      <left/>
      <right/>
      <top style="double">
        <color indexed="64"/>
      </top>
      <bottom style="thick">
        <color indexed="64"/>
      </bottom>
      <diagonal/>
    </border>
    <border>
      <left/>
      <right style="thin">
        <color indexed="64"/>
      </right>
      <top style="double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ck">
        <color indexed="64"/>
      </bottom>
      <diagonal/>
    </border>
    <border>
      <left/>
      <right style="medium">
        <color indexed="64"/>
      </right>
      <top style="double">
        <color indexed="64"/>
      </top>
      <bottom style="thick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ck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1"/>
      </bottom>
      <diagonal/>
    </border>
  </borders>
  <cellStyleXfs count="22">
    <xf numFmtId="0" fontId="0" fillId="0" borderId="0"/>
    <xf numFmtId="37" fontId="2" fillId="0" borderId="0" applyFill="0" applyAlignment="0" applyProtection="0"/>
    <xf numFmtId="5" fontId="2" fillId="0" borderId="0" applyFill="0" applyBorder="0" applyAlignment="0" applyProtection="0"/>
    <xf numFmtId="164" fontId="2" fillId="0" borderId="0" applyFill="0" applyBorder="0" applyAlignment="0" applyProtection="0"/>
    <xf numFmtId="2" fontId="2" fillId="0" borderId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46" fillId="41" borderId="0" applyNumberFormat="0" applyBorder="0" applyAlignment="0" applyProtection="0"/>
    <xf numFmtId="9" fontId="55" fillId="0" borderId="0" applyFont="0" applyFill="0" applyBorder="0" applyAlignment="0" applyProtection="0"/>
    <xf numFmtId="43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10" fontId="5" fillId="54" borderId="0" applyProtection="0">
      <alignment horizontal="center" vertical="center" wrapText="1"/>
    </xf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</cellStyleXfs>
  <cellXfs count="2120">
    <xf numFmtId="0" fontId="0" fillId="0" borderId="0" xfId="0"/>
    <xf numFmtId="2" fontId="0" fillId="0" borderId="0" xfId="0" applyNumberFormat="1"/>
    <xf numFmtId="166" fontId="0" fillId="0" borderId="0" xfId="0" applyNumberFormat="1"/>
    <xf numFmtId="167" fontId="0" fillId="0" borderId="0" xfId="0" applyNumberFormat="1"/>
    <xf numFmtId="167" fontId="8" fillId="0" borderId="0" xfId="0" applyNumberFormat="1" applyFont="1" applyAlignment="1">
      <alignment horizontal="center"/>
    </xf>
    <xf numFmtId="0" fontId="6" fillId="0" borderId="0" xfId="7" applyFont="1" applyAlignment="1">
      <alignment horizontal="center"/>
    </xf>
    <xf numFmtId="0" fontId="0" fillId="0" borderId="2" xfId="0" applyBorder="1"/>
    <xf numFmtId="37" fontId="2" fillId="0" borderId="2" xfId="7" applyNumberFormat="1" applyBorder="1"/>
    <xf numFmtId="37" fontId="5" fillId="0" borderId="2" xfId="1" applyFont="1" applyBorder="1"/>
    <xf numFmtId="2" fontId="0" fillId="0" borderId="2" xfId="0" applyNumberFormat="1" applyBorder="1"/>
    <xf numFmtId="0" fontId="9" fillId="0" borderId="0" xfId="0" applyFont="1"/>
    <xf numFmtId="167" fontId="9" fillId="0" borderId="0" xfId="0" applyNumberFormat="1" applyFont="1"/>
    <xf numFmtId="166" fontId="9" fillId="0" borderId="0" xfId="0" applyNumberFormat="1" applyFont="1"/>
    <xf numFmtId="37" fontId="9" fillId="0" borderId="0" xfId="0" applyNumberFormat="1" applyFont="1"/>
    <xf numFmtId="0" fontId="8" fillId="0" borderId="3" xfId="7" applyFont="1" applyBorder="1"/>
    <xf numFmtId="37" fontId="9" fillId="0" borderId="3" xfId="7" applyNumberFormat="1" applyFont="1" applyBorder="1"/>
    <xf numFmtId="0" fontId="9" fillId="0" borderId="3" xfId="7" applyFont="1" applyBorder="1"/>
    <xf numFmtId="0" fontId="9" fillId="0" borderId="4" xfId="0" applyFont="1" applyBorder="1"/>
    <xf numFmtId="0" fontId="8" fillId="0" borderId="5" xfId="7" applyFont="1" applyBorder="1" applyAlignment="1">
      <alignment horizontal="center"/>
    </xf>
    <xf numFmtId="0" fontId="9" fillId="0" borderId="5" xfId="0" applyFont="1" applyBorder="1"/>
    <xf numFmtId="165" fontId="8" fillId="0" borderId="5" xfId="7" applyNumberFormat="1" applyFont="1" applyBorder="1" applyAlignment="1">
      <alignment horizontal="center"/>
    </xf>
    <xf numFmtId="0" fontId="8" fillId="0" borderId="6" xfId="7" applyFont="1" applyBorder="1"/>
    <xf numFmtId="37" fontId="9" fillId="0" borderId="6" xfId="7" applyNumberFormat="1" applyFont="1" applyBorder="1"/>
    <xf numFmtId="0" fontId="9" fillId="0" borderId="6" xfId="7" applyFont="1" applyBorder="1"/>
    <xf numFmtId="37" fontId="9" fillId="0" borderId="7" xfId="7" applyNumberFormat="1" applyFont="1" applyBorder="1"/>
    <xf numFmtId="37" fontId="8" fillId="0" borderId="8" xfId="7" applyNumberFormat="1" applyFont="1" applyBorder="1" applyAlignment="1">
      <alignment horizontal="center"/>
    </xf>
    <xf numFmtId="37" fontId="9" fillId="0" borderId="9" xfId="7" applyNumberFormat="1" applyFont="1" applyBorder="1"/>
    <xf numFmtId="37" fontId="9" fillId="0" borderId="10" xfId="7" applyNumberFormat="1" applyFont="1" applyBorder="1"/>
    <xf numFmtId="0" fontId="10" fillId="0" borderId="11" xfId="0" applyFont="1" applyBorder="1"/>
    <xf numFmtId="2" fontId="9" fillId="2" borderId="12" xfId="0" applyNumberFormat="1" applyFont="1" applyFill="1" applyBorder="1"/>
    <xf numFmtId="0" fontId="9" fillId="0" borderId="7" xfId="0" applyFont="1" applyBorder="1"/>
    <xf numFmtId="0" fontId="9" fillId="0" borderId="8" xfId="0" applyFont="1" applyBorder="1"/>
    <xf numFmtId="37" fontId="9" fillId="3" borderId="13" xfId="7" applyNumberFormat="1" applyFont="1" applyFill="1" applyBorder="1"/>
    <xf numFmtId="2" fontId="9" fillId="3" borderId="13" xfId="0" applyNumberFormat="1" applyFont="1" applyFill="1" applyBorder="1"/>
    <xf numFmtId="2" fontId="9" fillId="3" borderId="14" xfId="0" applyNumberFormat="1" applyFont="1" applyFill="1" applyBorder="1"/>
    <xf numFmtId="37" fontId="9" fillId="3" borderId="15" xfId="1" applyFont="1" applyFill="1" applyBorder="1" applyAlignment="1">
      <alignment horizontal="right"/>
    </xf>
    <xf numFmtId="2" fontId="9" fillId="3" borderId="15" xfId="0" applyNumberFormat="1" applyFont="1" applyFill="1" applyBorder="1"/>
    <xf numFmtId="166" fontId="9" fillId="3" borderId="16" xfId="0" applyNumberFormat="1" applyFont="1" applyFill="1" applyBorder="1"/>
    <xf numFmtId="37" fontId="8" fillId="3" borderId="15" xfId="1" applyFont="1" applyFill="1" applyBorder="1" applyAlignment="1">
      <alignment horizontal="right"/>
    </xf>
    <xf numFmtId="2" fontId="8" fillId="3" borderId="15" xfId="0" applyNumberFormat="1" applyFont="1" applyFill="1" applyBorder="1"/>
    <xf numFmtId="166" fontId="8" fillId="3" borderId="16" xfId="0" applyNumberFormat="1" applyFont="1" applyFill="1" applyBorder="1"/>
    <xf numFmtId="0" fontId="8" fillId="0" borderId="17" xfId="7" applyFont="1" applyBorder="1"/>
    <xf numFmtId="0" fontId="8" fillId="0" borderId="18" xfId="7" applyFont="1" applyBorder="1"/>
    <xf numFmtId="37" fontId="8" fillId="0" borderId="19" xfId="1" applyFont="1" applyBorder="1"/>
    <xf numFmtId="37" fontId="8" fillId="0" borderId="20" xfId="1" applyFont="1" applyBorder="1"/>
    <xf numFmtId="0" fontId="9" fillId="0" borderId="21" xfId="0" applyFont="1" applyBorder="1"/>
    <xf numFmtId="0" fontId="9" fillId="0" borderId="22" xfId="0" applyFont="1" applyBorder="1"/>
    <xf numFmtId="0" fontId="9" fillId="0" borderId="23" xfId="0" applyFont="1" applyBorder="1"/>
    <xf numFmtId="0" fontId="9" fillId="0" borderId="24" xfId="0" applyFont="1" applyBorder="1"/>
    <xf numFmtId="0" fontId="8" fillId="0" borderId="25" xfId="7" applyFont="1" applyBorder="1" applyAlignment="1">
      <alignment horizontal="center"/>
    </xf>
    <xf numFmtId="0" fontId="8" fillId="0" borderId="26" xfId="7" applyFont="1" applyBorder="1" applyAlignment="1">
      <alignment horizontal="center"/>
    </xf>
    <xf numFmtId="165" fontId="8" fillId="0" borderId="25" xfId="7" applyNumberFormat="1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2" fontId="8" fillId="0" borderId="26" xfId="0" applyNumberFormat="1" applyFont="1" applyBorder="1" applyAlignment="1">
      <alignment horizontal="center"/>
    </xf>
    <xf numFmtId="37" fontId="8" fillId="0" borderId="27" xfId="7" applyNumberFormat="1" applyFont="1" applyBorder="1" applyAlignment="1">
      <alignment horizontal="center"/>
    </xf>
    <xf numFmtId="2" fontId="8" fillId="0" borderId="27" xfId="0" applyNumberFormat="1" applyFont="1" applyBorder="1" applyAlignment="1">
      <alignment horizontal="center"/>
    </xf>
    <xf numFmtId="2" fontId="8" fillId="0" borderId="28" xfId="0" applyNumberFormat="1" applyFont="1" applyBorder="1" applyAlignment="1">
      <alignment horizontal="center"/>
    </xf>
    <xf numFmtId="0" fontId="9" fillId="0" borderId="29" xfId="0" applyFont="1" applyBorder="1"/>
    <xf numFmtId="0" fontId="9" fillId="0" borderId="30" xfId="0" applyFont="1" applyBorder="1"/>
    <xf numFmtId="0" fontId="9" fillId="0" borderId="31" xfId="7" applyFont="1" applyBorder="1" applyAlignment="1">
      <alignment horizontal="center"/>
    </xf>
    <xf numFmtId="0" fontId="9" fillId="0" borderId="32" xfId="7" applyFont="1" applyBorder="1" applyAlignment="1">
      <alignment horizontal="center"/>
    </xf>
    <xf numFmtId="0" fontId="8" fillId="0" borderId="31" xfId="7" applyFont="1" applyBorder="1" applyAlignment="1">
      <alignment horizontal="right"/>
    </xf>
    <xf numFmtId="0" fontId="8" fillId="0" borderId="32" xfId="7" applyFont="1" applyBorder="1" applyAlignment="1">
      <alignment horizontal="center"/>
    </xf>
    <xf numFmtId="0" fontId="8" fillId="0" borderId="31" xfId="7" applyFont="1" applyBorder="1"/>
    <xf numFmtId="0" fontId="8" fillId="0" borderId="32" xfId="7" applyFont="1" applyBorder="1"/>
    <xf numFmtId="0" fontId="9" fillId="0" borderId="13" xfId="0" applyFont="1" applyBorder="1"/>
    <xf numFmtId="0" fontId="9" fillId="0" borderId="15" xfId="0" applyFont="1" applyBorder="1"/>
    <xf numFmtId="0" fontId="9" fillId="0" borderId="33" xfId="0" applyFont="1" applyBorder="1"/>
    <xf numFmtId="0" fontId="9" fillId="0" borderId="34" xfId="0" applyFont="1" applyBorder="1"/>
    <xf numFmtId="37" fontId="8" fillId="4" borderId="35" xfId="1" applyFont="1" applyFill="1" applyBorder="1"/>
    <xf numFmtId="37" fontId="8" fillId="4" borderId="36" xfId="1" applyFont="1" applyFill="1" applyBorder="1"/>
    <xf numFmtId="0" fontId="9" fillId="0" borderId="37" xfId="0" applyFont="1" applyBorder="1"/>
    <xf numFmtId="0" fontId="9" fillId="0" borderId="38" xfId="0" applyFont="1" applyBorder="1"/>
    <xf numFmtId="37" fontId="8" fillId="3" borderId="38" xfId="1" applyFont="1" applyFill="1" applyBorder="1" applyAlignment="1">
      <alignment horizontal="right"/>
    </xf>
    <xf numFmtId="2" fontId="8" fillId="3" borderId="38" xfId="0" applyNumberFormat="1" applyFont="1" applyFill="1" applyBorder="1"/>
    <xf numFmtId="166" fontId="8" fillId="3" borderId="39" xfId="0" applyNumberFormat="1" applyFont="1" applyFill="1" applyBorder="1"/>
    <xf numFmtId="37" fontId="11" fillId="0" borderId="40" xfId="1" applyFont="1" applyBorder="1"/>
    <xf numFmtId="37" fontId="11" fillId="0" borderId="41" xfId="1" applyFont="1" applyBorder="1"/>
    <xf numFmtId="37" fontId="11" fillId="0" borderId="42" xfId="1" applyFont="1" applyBorder="1" applyAlignment="1">
      <alignment horizontal="right"/>
    </xf>
    <xf numFmtId="37" fontId="11" fillId="0" borderId="43" xfId="1" applyFont="1" applyBorder="1" applyAlignment="1">
      <alignment horizontal="right"/>
    </xf>
    <xf numFmtId="4" fontId="11" fillId="2" borderId="44" xfId="0" applyNumberFormat="1" applyFont="1" applyFill="1" applyBorder="1"/>
    <xf numFmtId="0" fontId="7" fillId="0" borderId="0" xfId="0" applyFont="1"/>
    <xf numFmtId="37" fontId="11" fillId="0" borderId="45" xfId="1" applyFont="1" applyBorder="1"/>
    <xf numFmtId="37" fontId="11" fillId="0" borderId="46" xfId="1" applyFont="1" applyBorder="1"/>
    <xf numFmtId="0" fontId="7" fillId="0" borderId="47" xfId="0" applyFont="1" applyBorder="1"/>
    <xf numFmtId="0" fontId="7" fillId="0" borderId="48" xfId="0" applyFont="1" applyBorder="1"/>
    <xf numFmtId="37" fontId="11" fillId="3" borderId="48" xfId="1" applyFont="1" applyFill="1" applyBorder="1" applyAlignment="1">
      <alignment horizontal="right"/>
    </xf>
    <xf numFmtId="4" fontId="11" fillId="3" borderId="48" xfId="0" applyNumberFormat="1" applyFont="1" applyFill="1" applyBorder="1"/>
    <xf numFmtId="166" fontId="11" fillId="3" borderId="49" xfId="0" applyNumberFormat="1" applyFont="1" applyFill="1" applyBorder="1"/>
    <xf numFmtId="167" fontId="7" fillId="0" borderId="0" xfId="0" applyNumberFormat="1" applyFont="1"/>
    <xf numFmtId="0" fontId="11" fillId="0" borderId="50" xfId="0" applyFont="1" applyBorder="1"/>
    <xf numFmtId="0" fontId="11" fillId="0" borderId="51" xfId="0" applyFont="1" applyBorder="1"/>
    <xf numFmtId="0" fontId="11" fillId="0" borderId="52" xfId="0" applyFont="1" applyBorder="1"/>
    <xf numFmtId="37" fontId="11" fillId="0" borderId="52" xfId="0" applyNumberFormat="1" applyFont="1" applyBorder="1"/>
    <xf numFmtId="37" fontId="11" fillId="0" borderId="53" xfId="0" applyNumberFormat="1" applyFont="1" applyBorder="1"/>
    <xf numFmtId="37" fontId="11" fillId="0" borderId="50" xfId="1" applyFont="1" applyBorder="1" applyAlignment="1">
      <alignment horizontal="right"/>
    </xf>
    <xf numFmtId="2" fontId="7" fillId="0" borderId="54" xfId="0" applyNumberFormat="1" applyFont="1" applyBorder="1"/>
    <xf numFmtId="0" fontId="11" fillId="0" borderId="2" xfId="7" applyFont="1" applyBorder="1"/>
    <xf numFmtId="0" fontId="7" fillId="0" borderId="2" xfId="0" applyFont="1" applyBorder="1"/>
    <xf numFmtId="0" fontId="11" fillId="0" borderId="55" xfId="7" applyFont="1" applyBorder="1"/>
    <xf numFmtId="0" fontId="11" fillId="0" borderId="56" xfId="7" applyFont="1" applyBorder="1"/>
    <xf numFmtId="0" fontId="7" fillId="0" borderId="57" xfId="7" applyFont="1" applyBorder="1" applyAlignment="1">
      <alignment horizontal="center"/>
    </xf>
    <xf numFmtId="0" fontId="7" fillId="0" borderId="58" xfId="7" applyFont="1" applyBorder="1" applyAlignment="1">
      <alignment horizontal="center"/>
    </xf>
    <xf numFmtId="0" fontId="11" fillId="0" borderId="57" xfId="7" applyFont="1" applyBorder="1" applyAlignment="1">
      <alignment horizontal="right"/>
    </xf>
    <xf numFmtId="0" fontId="11" fillId="0" borderId="58" xfId="7" applyFont="1" applyBorder="1" applyAlignment="1">
      <alignment horizontal="center"/>
    </xf>
    <xf numFmtId="0" fontId="11" fillId="0" borderId="59" xfId="7" applyFont="1" applyBorder="1"/>
    <xf numFmtId="0" fontId="11" fillId="0" borderId="60" xfId="7" applyFont="1" applyBorder="1"/>
    <xf numFmtId="0" fontId="11" fillId="0" borderId="61" xfId="7" applyFont="1" applyBorder="1"/>
    <xf numFmtId="0" fontId="11" fillId="0" borderId="62" xfId="7" applyFont="1" applyBorder="1"/>
    <xf numFmtId="37" fontId="11" fillId="0" borderId="63" xfId="1" applyFont="1" applyBorder="1"/>
    <xf numFmtId="37" fontId="11" fillId="0" borderId="64" xfId="1" applyFont="1" applyBorder="1"/>
    <xf numFmtId="37" fontId="7" fillId="0" borderId="65" xfId="1" applyFont="1" applyBorder="1" applyAlignment="1">
      <alignment horizontal="right"/>
    </xf>
    <xf numFmtId="37" fontId="7" fillId="0" borderId="66" xfId="1" applyFont="1" applyBorder="1" applyAlignment="1">
      <alignment horizontal="right"/>
    </xf>
    <xf numFmtId="2" fontId="7" fillId="2" borderId="67" xfId="0" applyNumberFormat="1" applyFont="1" applyFill="1" applyBorder="1"/>
    <xf numFmtId="2" fontId="11" fillId="2" borderId="67" xfId="0" applyNumberFormat="1" applyFont="1" applyFill="1" applyBorder="1"/>
    <xf numFmtId="2" fontId="11" fillId="5" borderId="67" xfId="0" applyNumberFormat="1" applyFont="1" applyFill="1" applyBorder="1"/>
    <xf numFmtId="37" fontId="11" fillId="0" borderId="66" xfId="1" applyFont="1" applyBorder="1" applyAlignment="1">
      <alignment horizontal="right"/>
    </xf>
    <xf numFmtId="37" fontId="7" fillId="4" borderId="0" xfId="7" applyNumberFormat="1" applyFont="1" applyFill="1"/>
    <xf numFmtId="2" fontId="9" fillId="0" borderId="68" xfId="0" applyNumberFormat="1" applyFont="1" applyBorder="1"/>
    <xf numFmtId="2" fontId="8" fillId="0" borderId="69" xfId="0" applyNumberFormat="1" applyFont="1" applyBorder="1" applyAlignment="1">
      <alignment horizontal="center"/>
    </xf>
    <xf numFmtId="2" fontId="9" fillId="0" borderId="70" xfId="0" applyNumberFormat="1" applyFont="1" applyBorder="1"/>
    <xf numFmtId="0" fontId="8" fillId="0" borderId="8" xfId="7" applyFont="1" applyBorder="1" applyAlignment="1">
      <alignment horizontal="center"/>
    </xf>
    <xf numFmtId="0" fontId="9" fillId="0" borderId="9" xfId="7" applyFont="1" applyBorder="1"/>
    <xf numFmtId="0" fontId="9" fillId="0" borderId="10" xfId="7" applyFont="1" applyBorder="1"/>
    <xf numFmtId="0" fontId="9" fillId="0" borderId="71" xfId="0" applyFont="1" applyBorder="1"/>
    <xf numFmtId="0" fontId="8" fillId="0" borderId="72" xfId="7" applyFont="1" applyBorder="1" applyAlignment="1">
      <alignment horizontal="center"/>
    </xf>
    <xf numFmtId="0" fontId="9" fillId="0" borderId="73" xfId="7" applyFont="1" applyBorder="1"/>
    <xf numFmtId="0" fontId="9" fillId="0" borderId="74" xfId="7" applyFont="1" applyBorder="1"/>
    <xf numFmtId="37" fontId="7" fillId="0" borderId="75" xfId="1" applyFont="1" applyBorder="1" applyAlignment="1">
      <alignment horizontal="right"/>
    </xf>
    <xf numFmtId="37" fontId="11" fillId="0" borderId="76" xfId="1" applyFont="1" applyBorder="1" applyAlignment="1">
      <alignment horizontal="right"/>
    </xf>
    <xf numFmtId="0" fontId="11" fillId="0" borderId="53" xfId="0" applyFont="1" applyBorder="1"/>
    <xf numFmtId="0" fontId="8" fillId="0" borderId="22" xfId="7" applyFont="1" applyBorder="1" applyAlignment="1">
      <alignment horizontal="center"/>
    </xf>
    <xf numFmtId="37" fontId="9" fillId="0" borderId="77" xfId="7" applyNumberFormat="1" applyFont="1" applyBorder="1"/>
    <xf numFmtId="37" fontId="11" fillId="0" borderId="50" xfId="0" applyNumberFormat="1" applyFont="1" applyBorder="1"/>
    <xf numFmtId="37" fontId="8" fillId="0" borderId="78" xfId="1" applyFont="1" applyBorder="1"/>
    <xf numFmtId="37" fontId="11" fillId="0" borderId="2" xfId="1" applyFont="1" applyBorder="1" applyAlignment="1">
      <alignment horizontal="right"/>
    </xf>
    <xf numFmtId="39" fontId="12" fillId="5" borderId="79" xfId="1" applyNumberFormat="1" applyFont="1" applyFill="1" applyBorder="1" applyAlignment="1">
      <alignment horizontal="right"/>
    </xf>
    <xf numFmtId="2" fontId="11" fillId="2" borderId="79" xfId="0" applyNumberFormat="1" applyFont="1" applyFill="1" applyBorder="1"/>
    <xf numFmtId="37" fontId="2" fillId="0" borderId="80" xfId="1" applyBorder="1"/>
    <xf numFmtId="2" fontId="8" fillId="0" borderId="81" xfId="0" applyNumberFormat="1" applyFont="1" applyBorder="1" applyAlignment="1">
      <alignment horizontal="center"/>
    </xf>
    <xf numFmtId="2" fontId="9" fillId="0" borderId="82" xfId="0" applyNumberFormat="1" applyFont="1" applyBorder="1"/>
    <xf numFmtId="2" fontId="9" fillId="2" borderId="83" xfId="0" applyNumberFormat="1" applyFont="1" applyFill="1" applyBorder="1"/>
    <xf numFmtId="2" fontId="7" fillId="2" borderId="79" xfId="0" applyNumberFormat="1" applyFont="1" applyFill="1" applyBorder="1"/>
    <xf numFmtId="165" fontId="8" fillId="0" borderId="22" xfId="7" applyNumberFormat="1" applyFont="1" applyBorder="1" applyAlignment="1">
      <alignment horizontal="center"/>
    </xf>
    <xf numFmtId="37" fontId="9" fillId="6" borderId="84" xfId="7" applyNumberFormat="1" applyFont="1" applyFill="1" applyBorder="1"/>
    <xf numFmtId="37" fontId="7" fillId="0" borderId="85" xfId="1" applyFont="1" applyBorder="1" applyAlignment="1">
      <alignment horizontal="right"/>
    </xf>
    <xf numFmtId="37" fontId="11" fillId="0" borderId="85" xfId="1" applyFont="1" applyBorder="1" applyAlignment="1">
      <alignment horizontal="right"/>
    </xf>
    <xf numFmtId="38" fontId="11" fillId="0" borderId="85" xfId="0" applyNumberFormat="1" applyFont="1" applyBorder="1" applyAlignment="1">
      <alignment horizontal="right"/>
    </xf>
    <xf numFmtId="37" fontId="11" fillId="0" borderId="86" xfId="1" applyFont="1" applyBorder="1" applyAlignment="1">
      <alignment horizontal="right"/>
    </xf>
    <xf numFmtId="0" fontId="9" fillId="0" borderId="80" xfId="0" applyFont="1" applyBorder="1"/>
    <xf numFmtId="0" fontId="8" fillId="0" borderId="81" xfId="7" applyFont="1" applyBorder="1" applyAlignment="1">
      <alignment horizontal="center"/>
    </xf>
    <xf numFmtId="165" fontId="8" fillId="0" borderId="81" xfId="7" applyNumberFormat="1" applyFont="1" applyBorder="1" applyAlignment="1">
      <alignment horizontal="center"/>
    </xf>
    <xf numFmtId="37" fontId="9" fillId="0" borderId="82" xfId="7" applyNumberFormat="1" applyFont="1" applyBorder="1"/>
    <xf numFmtId="37" fontId="9" fillId="6" borderId="83" xfId="7" applyNumberFormat="1" applyFont="1" applyFill="1" applyBorder="1"/>
    <xf numFmtId="37" fontId="12" fillId="5" borderId="79" xfId="1" applyFont="1" applyFill="1" applyBorder="1" applyAlignment="1">
      <alignment horizontal="right"/>
    </xf>
    <xf numFmtId="37" fontId="11" fillId="6" borderId="79" xfId="1" applyFont="1" applyFill="1" applyBorder="1" applyAlignment="1">
      <alignment horizontal="right"/>
    </xf>
    <xf numFmtId="37" fontId="11" fillId="5" borderId="87" xfId="1" applyFont="1" applyFill="1" applyBorder="1" applyAlignment="1">
      <alignment horizontal="right"/>
    </xf>
    <xf numFmtId="37" fontId="8" fillId="0" borderId="0" xfId="1" applyFont="1" applyAlignment="1">
      <alignment horizontal="center"/>
    </xf>
    <xf numFmtId="37" fontId="8" fillId="0" borderId="88" xfId="1" applyFont="1" applyBorder="1"/>
    <xf numFmtId="37" fontId="8" fillId="4" borderId="89" xfId="1" applyFont="1" applyFill="1" applyBorder="1"/>
    <xf numFmtId="37" fontId="11" fillId="0" borderId="90" xfId="1" applyFont="1" applyBorder="1" applyAlignment="1">
      <alignment horizontal="right"/>
    </xf>
    <xf numFmtId="37" fontId="11" fillId="0" borderId="91" xfId="1" applyFont="1" applyBorder="1" applyAlignment="1">
      <alignment horizontal="right"/>
    </xf>
    <xf numFmtId="0" fontId="14" fillId="0" borderId="0" xfId="0" applyFont="1"/>
    <xf numFmtId="0" fontId="15" fillId="0" borderId="0" xfId="7" applyFont="1" applyAlignment="1">
      <alignment horizontal="center"/>
    </xf>
    <xf numFmtId="0" fontId="15" fillId="0" borderId="0" xfId="7" applyFont="1"/>
    <xf numFmtId="37" fontId="14" fillId="0" borderId="0" xfId="7" applyNumberFormat="1" applyFont="1"/>
    <xf numFmtId="0" fontId="15" fillId="4" borderId="0" xfId="7" applyFont="1" applyFill="1"/>
    <xf numFmtId="37" fontId="15" fillId="0" borderId="0" xfId="7" applyNumberFormat="1" applyFont="1"/>
    <xf numFmtId="0" fontId="16" fillId="0" borderId="0" xfId="7" applyFont="1"/>
    <xf numFmtId="0" fontId="15" fillId="0" borderId="92" xfId="7" applyFont="1" applyBorder="1"/>
    <xf numFmtId="37" fontId="15" fillId="0" borderId="92" xfId="7" applyNumberFormat="1" applyFont="1" applyBorder="1"/>
    <xf numFmtId="0" fontId="16" fillId="0" borderId="92" xfId="7" applyFont="1" applyBorder="1"/>
    <xf numFmtId="0" fontId="14" fillId="0" borderId="92" xfId="7" applyFont="1" applyBorder="1"/>
    <xf numFmtId="37" fontId="14" fillId="4" borderId="0" xfId="7" applyNumberFormat="1" applyFont="1" applyFill="1"/>
    <xf numFmtId="0" fontId="17" fillId="0" borderId="0" xfId="7" applyFont="1"/>
    <xf numFmtId="39" fontId="14" fillId="0" borderId="0" xfId="7" applyNumberFormat="1" applyFont="1"/>
    <xf numFmtId="37" fontId="17" fillId="0" borderId="0" xfId="7" applyNumberFormat="1" applyFont="1"/>
    <xf numFmtId="37" fontId="16" fillId="0" borderId="0" xfId="7" applyNumberFormat="1" applyFont="1"/>
    <xf numFmtId="0" fontId="19" fillId="0" borderId="0" xfId="8" applyFont="1"/>
    <xf numFmtId="0" fontId="20" fillId="0" borderId="8" xfId="9" applyFont="1" applyBorder="1" applyAlignment="1">
      <alignment horizontal="center"/>
    </xf>
    <xf numFmtId="0" fontId="20" fillId="0" borderId="5" xfId="9" applyFont="1" applyBorder="1" applyAlignment="1">
      <alignment horizontal="center"/>
    </xf>
    <xf numFmtId="0" fontId="19" fillId="0" borderId="0" xfId="7" applyFont="1"/>
    <xf numFmtId="0" fontId="20" fillId="0" borderId="93" xfId="9" applyFont="1" applyBorder="1"/>
    <xf numFmtId="0" fontId="20" fillId="0" borderId="62" xfId="9" applyFont="1" applyBorder="1"/>
    <xf numFmtId="37" fontId="19" fillId="0" borderId="10" xfId="9" applyNumberFormat="1" applyFont="1" applyBorder="1"/>
    <xf numFmtId="0" fontId="19" fillId="0" borderId="3" xfId="9" applyFont="1" applyBorder="1"/>
    <xf numFmtId="0" fontId="19" fillId="0" borderId="84" xfId="9" applyFont="1" applyBorder="1"/>
    <xf numFmtId="0" fontId="19" fillId="0" borderId="94" xfId="9" applyFont="1" applyBorder="1"/>
    <xf numFmtId="0" fontId="19" fillId="0" borderId="10" xfId="9" applyFont="1" applyBorder="1"/>
    <xf numFmtId="37" fontId="20" fillId="0" borderId="95" xfId="1" applyFont="1" applyBorder="1"/>
    <xf numFmtId="37" fontId="20" fillId="0" borderId="64" xfId="1" applyFont="1" applyBorder="1"/>
    <xf numFmtId="39" fontId="19" fillId="0" borderId="65" xfId="1" applyNumberFormat="1" applyFont="1" applyBorder="1" applyAlignment="1">
      <alignment horizontal="right"/>
    </xf>
    <xf numFmtId="39" fontId="19" fillId="0" borderId="66" xfId="1" applyNumberFormat="1" applyFont="1" applyBorder="1" applyAlignment="1">
      <alignment horizontal="right"/>
    </xf>
    <xf numFmtId="37" fontId="19" fillId="0" borderId="85" xfId="1" applyFont="1" applyBorder="1" applyAlignment="1">
      <alignment horizontal="right"/>
    </xf>
    <xf numFmtId="37" fontId="19" fillId="0" borderId="96" xfId="1" applyFont="1" applyBorder="1" applyAlignment="1">
      <alignment horizontal="right"/>
    </xf>
    <xf numFmtId="37" fontId="19" fillId="0" borderId="65" xfId="1" applyFont="1" applyBorder="1" applyAlignment="1">
      <alignment horizontal="right"/>
    </xf>
    <xf numFmtId="37" fontId="19" fillId="0" borderId="66" xfId="1" applyFont="1" applyBorder="1" applyAlignment="1">
      <alignment horizontal="right"/>
    </xf>
    <xf numFmtId="4" fontId="19" fillId="0" borderId="65" xfId="1" applyNumberFormat="1" applyFont="1" applyBorder="1" applyAlignment="1">
      <alignment horizontal="right"/>
    </xf>
    <xf numFmtId="7" fontId="19" fillId="0" borderId="85" xfId="1" applyNumberFormat="1" applyFont="1" applyBorder="1" applyAlignment="1">
      <alignment horizontal="right"/>
    </xf>
    <xf numFmtId="7" fontId="19" fillId="0" borderId="96" xfId="1" applyNumberFormat="1" applyFont="1" applyBorder="1" applyAlignment="1">
      <alignment horizontal="right"/>
    </xf>
    <xf numFmtId="168" fontId="19" fillId="0" borderId="65" xfId="1" applyNumberFormat="1" applyFont="1" applyBorder="1" applyAlignment="1">
      <alignment horizontal="right"/>
    </xf>
    <xf numFmtId="168" fontId="19" fillId="0" borderId="66" xfId="1" applyNumberFormat="1" applyFont="1" applyBorder="1" applyAlignment="1">
      <alignment horizontal="right"/>
    </xf>
    <xf numFmtId="168" fontId="19" fillId="0" borderId="0" xfId="7" applyNumberFormat="1" applyFont="1"/>
    <xf numFmtId="168" fontId="20" fillId="0" borderId="42" xfId="1" applyNumberFormat="1" applyFont="1" applyBorder="1" applyAlignment="1">
      <alignment horizontal="right"/>
    </xf>
    <xf numFmtId="168" fontId="20" fillId="0" borderId="43" xfId="1" applyNumberFormat="1" applyFont="1" applyBorder="1" applyAlignment="1">
      <alignment horizontal="right"/>
    </xf>
    <xf numFmtId="0" fontId="19" fillId="7" borderId="97" xfId="9" applyFont="1" applyFill="1" applyBorder="1" applyAlignment="1">
      <alignment horizontal="center"/>
    </xf>
    <xf numFmtId="0" fontId="19" fillId="7" borderId="98" xfId="9" applyFont="1" applyFill="1" applyBorder="1" applyAlignment="1">
      <alignment horizontal="center"/>
    </xf>
    <xf numFmtId="165" fontId="20" fillId="7" borderId="99" xfId="7" applyNumberFormat="1" applyFont="1" applyFill="1" applyBorder="1" applyAlignment="1">
      <alignment horizontal="center"/>
    </xf>
    <xf numFmtId="0" fontId="20" fillId="7" borderId="100" xfId="7" applyFont="1" applyFill="1" applyBorder="1" applyAlignment="1">
      <alignment horizontal="center"/>
    </xf>
    <xf numFmtId="0" fontId="20" fillId="7" borderId="101" xfId="9" applyFont="1" applyFill="1" applyBorder="1" applyAlignment="1">
      <alignment horizontal="center"/>
    </xf>
    <xf numFmtId="2" fontId="20" fillId="7" borderId="102" xfId="7" applyNumberFormat="1" applyFont="1" applyFill="1" applyBorder="1" applyAlignment="1">
      <alignment horizontal="center"/>
    </xf>
    <xf numFmtId="0" fontId="20" fillId="7" borderId="103" xfId="9" applyFont="1" applyFill="1" applyBorder="1" applyAlignment="1">
      <alignment horizontal="right"/>
    </xf>
    <xf numFmtId="0" fontId="20" fillId="7" borderId="104" xfId="9" applyFont="1" applyFill="1" applyBorder="1" applyAlignment="1">
      <alignment horizontal="center"/>
    </xf>
    <xf numFmtId="37" fontId="20" fillId="7" borderId="105" xfId="7" applyNumberFormat="1" applyFont="1" applyFill="1" applyBorder="1" applyAlignment="1">
      <alignment horizontal="center"/>
    </xf>
    <xf numFmtId="2" fontId="20" fillId="7" borderId="106" xfId="7" applyNumberFormat="1" applyFont="1" applyFill="1" applyBorder="1" applyAlignment="1">
      <alignment horizontal="center"/>
    </xf>
    <xf numFmtId="0" fontId="20" fillId="7" borderId="107" xfId="9" applyFont="1" applyFill="1" applyBorder="1" applyAlignment="1">
      <alignment horizontal="center"/>
    </xf>
    <xf numFmtId="2" fontId="20" fillId="7" borderId="108" xfId="7" applyNumberFormat="1" applyFont="1" applyFill="1" applyBorder="1" applyAlignment="1">
      <alignment horizontal="center"/>
    </xf>
    <xf numFmtId="37" fontId="20" fillId="8" borderId="109" xfId="1" applyFont="1" applyFill="1" applyBorder="1"/>
    <xf numFmtId="37" fontId="20" fillId="8" borderId="110" xfId="1" applyFont="1" applyFill="1" applyBorder="1"/>
    <xf numFmtId="4" fontId="20" fillId="8" borderId="111" xfId="1" applyNumberFormat="1" applyFont="1" applyFill="1" applyBorder="1" applyAlignment="1">
      <alignment horizontal="right"/>
    </xf>
    <xf numFmtId="39" fontId="20" fillId="8" borderId="111" xfId="1" applyNumberFormat="1" applyFont="1" applyFill="1" applyBorder="1" applyAlignment="1">
      <alignment horizontal="right"/>
    </xf>
    <xf numFmtId="7" fontId="20" fillId="8" borderId="86" xfId="1" applyNumberFormat="1" applyFont="1" applyFill="1" applyBorder="1" applyAlignment="1">
      <alignment horizontal="right"/>
    </xf>
    <xf numFmtId="7" fontId="20" fillId="8" borderId="112" xfId="1" applyNumberFormat="1" applyFont="1" applyFill="1" applyBorder="1" applyAlignment="1">
      <alignment horizontal="right"/>
    </xf>
    <xf numFmtId="0" fontId="21" fillId="7" borderId="104" xfId="9" applyFont="1" applyFill="1" applyBorder="1" applyAlignment="1">
      <alignment horizontal="center"/>
    </xf>
    <xf numFmtId="0" fontId="15" fillId="0" borderId="93" xfId="9" applyFont="1" applyBorder="1"/>
    <xf numFmtId="0" fontId="15" fillId="0" borderId="62" xfId="9" applyFont="1" applyBorder="1"/>
    <xf numFmtId="37" fontId="14" fillId="0" borderId="10" xfId="9" applyNumberFormat="1" applyFont="1" applyBorder="1"/>
    <xf numFmtId="0" fontId="14" fillId="0" borderId="84" xfId="9" applyFont="1" applyBorder="1"/>
    <xf numFmtId="0" fontId="14" fillId="0" borderId="94" xfId="9" applyFont="1" applyBorder="1"/>
    <xf numFmtId="37" fontId="15" fillId="0" borderId="95" xfId="1" applyFont="1" applyBorder="1"/>
    <xf numFmtId="37" fontId="15" fillId="0" borderId="64" xfId="1" applyFont="1" applyBorder="1"/>
    <xf numFmtId="39" fontId="14" fillId="0" borderId="65" xfId="1" applyNumberFormat="1" applyFont="1" applyBorder="1" applyAlignment="1">
      <alignment horizontal="right"/>
    </xf>
    <xf numFmtId="37" fontId="14" fillId="0" borderId="85" xfId="1" applyFont="1" applyBorder="1" applyAlignment="1">
      <alignment horizontal="right"/>
    </xf>
    <xf numFmtId="37" fontId="14" fillId="0" borderId="96" xfId="1" applyFont="1" applyBorder="1" applyAlignment="1">
      <alignment horizontal="right"/>
    </xf>
    <xf numFmtId="4" fontId="14" fillId="0" borderId="65" xfId="1" applyNumberFormat="1" applyFont="1" applyBorder="1" applyAlignment="1">
      <alignment horizontal="right"/>
    </xf>
    <xf numFmtId="7" fontId="14" fillId="0" borderId="85" xfId="1" applyNumberFormat="1" applyFont="1" applyBorder="1" applyAlignment="1">
      <alignment horizontal="right"/>
    </xf>
    <xf numFmtId="7" fontId="14" fillId="0" borderId="96" xfId="1" applyNumberFormat="1" applyFont="1" applyBorder="1" applyAlignment="1">
      <alignment horizontal="right"/>
    </xf>
    <xf numFmtId="0" fontId="14" fillId="0" borderId="0" xfId="8" applyFont="1"/>
    <xf numFmtId="3" fontId="14" fillId="0" borderId="65" xfId="1" applyNumberFormat="1" applyFont="1" applyBorder="1" applyAlignment="1">
      <alignment horizontal="right"/>
    </xf>
    <xf numFmtId="39" fontId="14" fillId="0" borderId="66" xfId="1" applyNumberFormat="1" applyFont="1" applyBorder="1" applyAlignment="1">
      <alignment horizontal="right"/>
    </xf>
    <xf numFmtId="37" fontId="15" fillId="8" borderId="109" xfId="1" applyFont="1" applyFill="1" applyBorder="1"/>
    <xf numFmtId="37" fontId="15" fillId="8" borderId="110" xfId="1" applyFont="1" applyFill="1" applyBorder="1"/>
    <xf numFmtId="3" fontId="15" fillId="8" borderId="111" xfId="1" applyNumberFormat="1" applyFont="1" applyFill="1" applyBorder="1" applyAlignment="1">
      <alignment horizontal="right"/>
    </xf>
    <xf numFmtId="4" fontId="15" fillId="8" borderId="111" xfId="1" applyNumberFormat="1" applyFont="1" applyFill="1" applyBorder="1" applyAlignment="1">
      <alignment horizontal="right"/>
    </xf>
    <xf numFmtId="7" fontId="15" fillId="8" borderId="86" xfId="1" applyNumberFormat="1" applyFont="1" applyFill="1" applyBorder="1" applyAlignment="1">
      <alignment horizontal="right"/>
    </xf>
    <xf numFmtId="166" fontId="15" fillId="8" borderId="111" xfId="1" applyNumberFormat="1" applyFont="1" applyFill="1" applyBorder="1" applyAlignment="1">
      <alignment horizontal="right"/>
    </xf>
    <xf numFmtId="37" fontId="14" fillId="9" borderId="113" xfId="1" applyFont="1" applyFill="1" applyBorder="1" applyAlignment="1">
      <alignment horizontal="right"/>
    </xf>
    <xf numFmtId="0" fontId="14" fillId="0" borderId="114" xfId="8" applyFont="1" applyBorder="1"/>
    <xf numFmtId="0" fontId="22" fillId="0" borderId="0" xfId="0" applyFont="1"/>
    <xf numFmtId="37" fontId="22" fillId="0" borderId="115" xfId="1" applyFont="1" applyBorder="1" applyAlignment="1">
      <alignment horizontal="right"/>
    </xf>
    <xf numFmtId="0" fontId="22" fillId="0" borderId="115" xfId="0" applyFont="1" applyBorder="1"/>
    <xf numFmtId="0" fontId="22" fillId="0" borderId="116" xfId="0" applyFont="1" applyBorder="1"/>
    <xf numFmtId="168" fontId="22" fillId="0" borderId="115" xfId="1" applyNumberFormat="1" applyFont="1" applyBorder="1" applyAlignment="1">
      <alignment horizontal="right"/>
    </xf>
    <xf numFmtId="168" fontId="22" fillId="0" borderId="115" xfId="0" applyNumberFormat="1" applyFont="1" applyBorder="1"/>
    <xf numFmtId="7" fontId="22" fillId="0" borderId="116" xfId="0" applyNumberFormat="1" applyFont="1" applyBorder="1"/>
    <xf numFmtId="39" fontId="22" fillId="0" borderId="117" xfId="1" applyNumberFormat="1" applyFont="1" applyBorder="1" applyAlignment="1">
      <alignment horizontal="right"/>
    </xf>
    <xf numFmtId="37" fontId="22" fillId="0" borderId="117" xfId="1" applyFont="1" applyBorder="1" applyAlignment="1">
      <alignment horizontal="right"/>
    </xf>
    <xf numFmtId="0" fontId="22" fillId="0" borderId="117" xfId="0" applyFont="1" applyBorder="1"/>
    <xf numFmtId="7" fontId="22" fillId="0" borderId="118" xfId="0" applyNumberFormat="1" applyFont="1" applyBorder="1"/>
    <xf numFmtId="0" fontId="22" fillId="0" borderId="0" xfId="8" applyFont="1"/>
    <xf numFmtId="0" fontId="22" fillId="0" borderId="8" xfId="9" applyFont="1" applyBorder="1" applyAlignment="1">
      <alignment horizontal="center"/>
    </xf>
    <xf numFmtId="0" fontId="22" fillId="0" borderId="5" xfId="9" applyFont="1" applyBorder="1" applyAlignment="1">
      <alignment horizontal="center"/>
    </xf>
    <xf numFmtId="0" fontId="22" fillId="0" borderId="22" xfId="9" applyFont="1" applyBorder="1" applyAlignment="1">
      <alignment horizontal="center"/>
    </xf>
    <xf numFmtId="2" fontId="22" fillId="7" borderId="119" xfId="0" applyNumberFormat="1" applyFont="1" applyFill="1" applyBorder="1" applyAlignment="1">
      <alignment horizontal="center"/>
    </xf>
    <xf numFmtId="2" fontId="22" fillId="7" borderId="120" xfId="0" applyNumberFormat="1" applyFont="1" applyFill="1" applyBorder="1" applyAlignment="1">
      <alignment horizontal="center"/>
    </xf>
    <xf numFmtId="37" fontId="22" fillId="0" borderId="121" xfId="1" applyFont="1" applyBorder="1"/>
    <xf numFmtId="39" fontId="22" fillId="0" borderId="122" xfId="1" applyNumberFormat="1" applyFont="1" applyBorder="1" applyAlignment="1">
      <alignment horizontal="right"/>
    </xf>
    <xf numFmtId="3" fontId="22" fillId="0" borderId="122" xfId="1" applyNumberFormat="1" applyFont="1" applyBorder="1" applyAlignment="1">
      <alignment horizontal="right"/>
    </xf>
    <xf numFmtId="37" fontId="22" fillId="0" borderId="123" xfId="1" applyFont="1" applyBorder="1"/>
    <xf numFmtId="44" fontId="22" fillId="0" borderId="124" xfId="1" applyNumberFormat="1" applyFont="1" applyBorder="1" applyAlignment="1">
      <alignment horizontal="right"/>
    </xf>
    <xf numFmtId="37" fontId="22" fillId="0" borderId="125" xfId="1" applyFont="1" applyBorder="1"/>
    <xf numFmtId="37" fontId="22" fillId="0" borderId="126" xfId="1" applyFont="1" applyBorder="1"/>
    <xf numFmtId="3" fontId="22" fillId="0" borderId="127" xfId="1" applyNumberFormat="1" applyFont="1" applyBorder="1" applyAlignment="1">
      <alignment horizontal="right"/>
    </xf>
    <xf numFmtId="4" fontId="22" fillId="0" borderId="127" xfId="1" applyNumberFormat="1" applyFont="1" applyBorder="1" applyAlignment="1">
      <alignment horizontal="right"/>
    </xf>
    <xf numFmtId="44" fontId="22" fillId="0" borderId="128" xfId="1" applyNumberFormat="1" applyFont="1" applyBorder="1" applyAlignment="1">
      <alignment horizontal="right"/>
    </xf>
    <xf numFmtId="44" fontId="22" fillId="0" borderId="124" xfId="1" applyNumberFormat="1" applyFont="1" applyBorder="1" applyAlignment="1">
      <alignment horizontal="right" vertical="center"/>
    </xf>
    <xf numFmtId="4" fontId="22" fillId="0" borderId="122" xfId="1" applyNumberFormat="1" applyFont="1" applyBorder="1" applyAlignment="1">
      <alignment horizontal="right" vertical="center"/>
    </xf>
    <xf numFmtId="0" fontId="22" fillId="0" borderId="122" xfId="8" applyFont="1" applyBorder="1" applyAlignment="1">
      <alignment vertical="center"/>
    </xf>
    <xf numFmtId="37" fontId="22" fillId="9" borderId="127" xfId="1" applyFont="1" applyFill="1" applyBorder="1" applyAlignment="1">
      <alignment horizontal="right" vertical="center"/>
    </xf>
    <xf numFmtId="4" fontId="22" fillId="0" borderId="127" xfId="1" applyNumberFormat="1" applyFont="1" applyBorder="1" applyAlignment="1">
      <alignment horizontal="right" vertical="center"/>
    </xf>
    <xf numFmtId="44" fontId="22" fillId="0" borderId="128" xfId="1" applyNumberFormat="1" applyFont="1" applyBorder="1" applyAlignment="1">
      <alignment horizontal="right" vertical="center"/>
    </xf>
    <xf numFmtId="37" fontId="22" fillId="0" borderId="129" xfId="1" applyFont="1" applyBorder="1" applyAlignment="1">
      <alignment vertical="center"/>
    </xf>
    <xf numFmtId="37" fontId="22" fillId="0" borderId="130" xfId="1" applyFont="1" applyBorder="1" applyAlignment="1">
      <alignment vertical="center"/>
    </xf>
    <xf numFmtId="37" fontId="22" fillId="0" borderId="131" xfId="1" applyFont="1" applyBorder="1" applyAlignment="1">
      <alignment vertical="center"/>
    </xf>
    <xf numFmtId="37" fontId="22" fillId="0" borderId="132" xfId="1" applyFont="1" applyBorder="1" applyAlignment="1">
      <alignment vertical="center"/>
    </xf>
    <xf numFmtId="39" fontId="22" fillId="0" borderId="133" xfId="1" applyNumberFormat="1" applyFont="1" applyBorder="1" applyAlignment="1">
      <alignment horizontal="right" vertical="center"/>
    </xf>
    <xf numFmtId="37" fontId="22" fillId="9" borderId="134" xfId="1" applyFont="1" applyFill="1" applyBorder="1" applyAlignment="1">
      <alignment horizontal="right" vertical="center"/>
    </xf>
    <xf numFmtId="39" fontId="25" fillId="9" borderId="134" xfId="1" applyNumberFormat="1" applyFont="1" applyFill="1" applyBorder="1" applyAlignment="1">
      <alignment horizontal="right" vertical="center"/>
    </xf>
    <xf numFmtId="44" fontId="22" fillId="0" borderId="135" xfId="1" applyNumberFormat="1" applyFont="1" applyBorder="1" applyAlignment="1">
      <alignment horizontal="right" vertical="center"/>
    </xf>
    <xf numFmtId="44" fontId="22" fillId="0" borderId="136" xfId="0" applyNumberFormat="1" applyFont="1" applyBorder="1" applyAlignment="1">
      <alignment vertical="center"/>
    </xf>
    <xf numFmtId="37" fontId="22" fillId="0" borderId="137" xfId="1" applyFont="1" applyBorder="1" applyAlignment="1">
      <alignment vertical="center"/>
    </xf>
    <xf numFmtId="37" fontId="22" fillId="0" borderId="138" xfId="1" applyFont="1" applyBorder="1" applyAlignment="1">
      <alignment vertical="center"/>
    </xf>
    <xf numFmtId="37" fontId="22" fillId="0" borderId="139" xfId="1" applyFont="1" applyBorder="1" applyAlignment="1">
      <alignment vertical="center"/>
    </xf>
    <xf numFmtId="37" fontId="23" fillId="0" borderId="140" xfId="1" applyFont="1" applyBorder="1" applyAlignment="1">
      <alignment vertical="center"/>
    </xf>
    <xf numFmtId="37" fontId="22" fillId="0" borderId="141" xfId="1" applyFont="1" applyBorder="1" applyAlignment="1">
      <alignment vertical="center"/>
    </xf>
    <xf numFmtId="0" fontId="22" fillId="0" borderId="142" xfId="8" applyFont="1" applyBorder="1" applyAlignment="1">
      <alignment vertical="center"/>
    </xf>
    <xf numFmtId="4" fontId="22" fillId="0" borderId="142" xfId="1" applyNumberFormat="1" applyFont="1" applyBorder="1" applyAlignment="1">
      <alignment horizontal="right" vertical="center"/>
    </xf>
    <xf numFmtId="44" fontId="22" fillId="0" borderId="143" xfId="1" applyNumberFormat="1" applyFont="1" applyBorder="1" applyAlignment="1">
      <alignment horizontal="right" vertical="center"/>
    </xf>
    <xf numFmtId="4" fontId="22" fillId="0" borderId="134" xfId="1" applyNumberFormat="1" applyFont="1" applyBorder="1" applyAlignment="1">
      <alignment horizontal="right" vertical="center"/>
    </xf>
    <xf numFmtId="44" fontId="22" fillId="0" borderId="144" xfId="1" applyNumberFormat="1" applyFont="1" applyBorder="1" applyAlignment="1">
      <alignment horizontal="right" vertical="center"/>
    </xf>
    <xf numFmtId="37" fontId="22" fillId="0" borderId="145" xfId="1" applyFont="1" applyBorder="1" applyAlignment="1">
      <alignment vertical="center"/>
    </xf>
    <xf numFmtId="37" fontId="22" fillId="9" borderId="146" xfId="1" applyFont="1" applyFill="1" applyBorder="1" applyAlignment="1">
      <alignment horizontal="right" vertical="center"/>
    </xf>
    <xf numFmtId="4" fontId="22" fillId="0" borderId="146" xfId="1" applyNumberFormat="1" applyFont="1" applyBorder="1" applyAlignment="1">
      <alignment horizontal="right" vertical="center"/>
    </xf>
    <xf numFmtId="44" fontId="22" fillId="0" borderId="147" xfId="1" applyNumberFormat="1" applyFont="1" applyBorder="1" applyAlignment="1">
      <alignment horizontal="right" vertical="center"/>
    </xf>
    <xf numFmtId="37" fontId="22" fillId="0" borderId="148" xfId="1" applyFont="1" applyBorder="1" applyAlignment="1">
      <alignment vertical="center"/>
    </xf>
    <xf numFmtId="37" fontId="22" fillId="0" borderId="149" xfId="1" applyFont="1" applyBorder="1" applyAlignment="1">
      <alignment vertical="center"/>
    </xf>
    <xf numFmtId="3" fontId="22" fillId="9" borderId="150" xfId="1" applyNumberFormat="1" applyFont="1" applyFill="1" applyBorder="1" applyAlignment="1">
      <alignment horizontal="right" vertical="center"/>
    </xf>
    <xf numFmtId="39" fontId="25" fillId="9" borderId="150" xfId="1" applyNumberFormat="1" applyFont="1" applyFill="1" applyBorder="1" applyAlignment="1">
      <alignment horizontal="right" vertical="center"/>
    </xf>
    <xf numFmtId="44" fontId="22" fillId="0" borderId="151" xfId="1" applyNumberFormat="1" applyFont="1" applyBorder="1" applyAlignment="1">
      <alignment horizontal="right" vertical="center"/>
    </xf>
    <xf numFmtId="3" fontId="22" fillId="9" borderId="134" xfId="1" applyNumberFormat="1" applyFont="1" applyFill="1" applyBorder="1" applyAlignment="1">
      <alignment horizontal="right" vertical="center"/>
    </xf>
    <xf numFmtId="37" fontId="22" fillId="9" borderId="150" xfId="1" applyFont="1" applyFill="1" applyBorder="1" applyAlignment="1">
      <alignment horizontal="right" vertical="center"/>
    </xf>
    <xf numFmtId="4" fontId="22" fillId="0" borderId="150" xfId="1" applyNumberFormat="1" applyFont="1" applyBorder="1" applyAlignment="1">
      <alignment horizontal="right" vertical="center"/>
    </xf>
    <xf numFmtId="37" fontId="22" fillId="0" borderId="152" xfId="1" applyFont="1" applyBorder="1" applyAlignment="1">
      <alignment vertical="center"/>
    </xf>
    <xf numFmtId="37" fontId="22" fillId="0" borderId="153" xfId="1" applyFont="1" applyBorder="1" applyAlignment="1">
      <alignment vertical="center"/>
    </xf>
    <xf numFmtId="3" fontId="22" fillId="9" borderId="154" xfId="1" applyNumberFormat="1" applyFont="1" applyFill="1" applyBorder="1" applyAlignment="1">
      <alignment horizontal="right" vertical="center"/>
    </xf>
    <xf numFmtId="39" fontId="25" fillId="9" borderId="154" xfId="1" applyNumberFormat="1" applyFont="1" applyFill="1" applyBorder="1" applyAlignment="1">
      <alignment horizontal="right" vertical="center"/>
    </xf>
    <xf numFmtId="44" fontId="22" fillId="0" borderId="155" xfId="1" applyNumberFormat="1" applyFont="1" applyBorder="1" applyAlignment="1">
      <alignment horizontal="right" vertical="center"/>
    </xf>
    <xf numFmtId="37" fontId="23" fillId="0" borderId="156" xfId="1" applyFont="1" applyBorder="1" applyAlignment="1">
      <alignment vertical="center"/>
    </xf>
    <xf numFmtId="37" fontId="23" fillId="0" borderId="157" xfId="1" applyFont="1" applyBorder="1" applyAlignment="1">
      <alignment vertical="center"/>
    </xf>
    <xf numFmtId="3" fontId="24" fillId="10" borderId="158" xfId="1" applyNumberFormat="1" applyFont="1" applyFill="1" applyBorder="1" applyAlignment="1">
      <alignment horizontal="right" vertical="center"/>
    </xf>
    <xf numFmtId="4" fontId="24" fillId="10" borderId="158" xfId="1" applyNumberFormat="1" applyFont="1" applyFill="1" applyBorder="1" applyAlignment="1">
      <alignment horizontal="right" vertical="center"/>
    </xf>
    <xf numFmtId="44" fontId="24" fillId="10" borderId="159" xfId="1" applyNumberFormat="1" applyFont="1" applyFill="1" applyBorder="1" applyAlignment="1">
      <alignment horizontal="right" vertical="center"/>
    </xf>
    <xf numFmtId="4" fontId="25" fillId="4" borderId="154" xfId="0" applyNumberFormat="1" applyFont="1" applyFill="1" applyBorder="1" applyAlignment="1">
      <alignment horizontal="right" vertical="center"/>
    </xf>
    <xf numFmtId="37" fontId="22" fillId="9" borderId="154" xfId="1" applyFont="1" applyFill="1" applyBorder="1" applyAlignment="1">
      <alignment horizontal="right" vertical="center"/>
    </xf>
    <xf numFmtId="4" fontId="22" fillId="0" borderId="154" xfId="1" applyNumberFormat="1" applyFont="1" applyBorder="1" applyAlignment="1">
      <alignment horizontal="right" vertical="center"/>
    </xf>
    <xf numFmtId="37" fontId="23" fillId="0" borderId="139" xfId="1" applyFont="1" applyBorder="1" applyAlignment="1">
      <alignment horizontal="right" vertical="center"/>
    </xf>
    <xf numFmtId="37" fontId="23" fillId="0" borderId="134" xfId="0" applyNumberFormat="1" applyFont="1" applyBorder="1" applyAlignment="1">
      <alignment vertical="center"/>
    </xf>
    <xf numFmtId="39" fontId="23" fillId="0" borderId="134" xfId="0" applyNumberFormat="1" applyFont="1" applyBorder="1" applyAlignment="1">
      <alignment horizontal="right" vertical="center"/>
    </xf>
    <xf numFmtId="44" fontId="23" fillId="0" borderId="144" xfId="0" applyNumberFormat="1" applyFont="1" applyBorder="1" applyAlignment="1">
      <alignment vertical="center"/>
    </xf>
    <xf numFmtId="39" fontId="23" fillId="0" borderId="134" xfId="0" applyNumberFormat="1" applyFont="1" applyBorder="1" applyAlignment="1">
      <alignment vertical="center"/>
    </xf>
    <xf numFmtId="37" fontId="23" fillId="9" borderId="134" xfId="1" applyFont="1" applyFill="1" applyBorder="1" applyAlignment="1">
      <alignment horizontal="right" vertical="center"/>
    </xf>
    <xf numFmtId="4" fontId="23" fillId="0" borderId="134" xfId="1" applyNumberFormat="1" applyFont="1" applyBorder="1" applyAlignment="1">
      <alignment horizontal="right" vertical="center"/>
    </xf>
    <xf numFmtId="44" fontId="23" fillId="0" borderId="144" xfId="1" applyNumberFormat="1" applyFont="1" applyBorder="1" applyAlignment="1">
      <alignment horizontal="right" vertical="center"/>
    </xf>
    <xf numFmtId="0" fontId="19" fillId="0" borderId="8" xfId="9" applyFont="1" applyBorder="1" applyAlignment="1">
      <alignment horizontal="center"/>
    </xf>
    <xf numFmtId="0" fontId="19" fillId="0" borderId="5" xfId="9" applyFont="1" applyBorder="1" applyAlignment="1">
      <alignment horizontal="center"/>
    </xf>
    <xf numFmtId="0" fontId="19" fillId="0" borderId="22" xfId="9" applyFont="1" applyBorder="1" applyAlignment="1">
      <alignment horizontal="center"/>
    </xf>
    <xf numFmtId="2" fontId="19" fillId="7" borderId="119" xfId="0" applyNumberFormat="1" applyFont="1" applyFill="1" applyBorder="1" applyAlignment="1">
      <alignment horizontal="center"/>
    </xf>
    <xf numFmtId="0" fontId="19" fillId="0" borderId="0" xfId="0" applyFont="1"/>
    <xf numFmtId="2" fontId="19" fillId="7" borderId="120" xfId="0" applyNumberFormat="1" applyFont="1" applyFill="1" applyBorder="1" applyAlignment="1">
      <alignment horizontal="center"/>
    </xf>
    <xf numFmtId="37" fontId="20" fillId="0" borderId="140" xfId="1" applyFont="1" applyBorder="1" applyAlignment="1">
      <alignment vertical="center"/>
    </xf>
    <xf numFmtId="37" fontId="19" fillId="0" borderId="137" xfId="1" applyFont="1" applyBorder="1" applyAlignment="1">
      <alignment vertical="center"/>
    </xf>
    <xf numFmtId="39" fontId="19" fillId="0" borderId="133" xfId="1" applyNumberFormat="1" applyFont="1" applyBorder="1" applyAlignment="1">
      <alignment horizontal="right" vertical="center"/>
    </xf>
    <xf numFmtId="37" fontId="19" fillId="0" borderId="115" xfId="1" applyFont="1" applyBorder="1" applyAlignment="1">
      <alignment horizontal="right"/>
    </xf>
    <xf numFmtId="0" fontId="19" fillId="0" borderId="115" xfId="0" applyFont="1" applyBorder="1"/>
    <xf numFmtId="0" fontId="19" fillId="0" borderId="116" xfId="0" applyFont="1" applyBorder="1"/>
    <xf numFmtId="37" fontId="19" fillId="0" borderId="148" xfId="1" applyFont="1" applyBorder="1" applyAlignment="1">
      <alignment vertical="center"/>
    </xf>
    <xf numFmtId="37" fontId="19" fillId="0" borderId="149" xfId="1" applyFont="1" applyBorder="1" applyAlignment="1">
      <alignment vertical="center"/>
    </xf>
    <xf numFmtId="168" fontId="19" fillId="0" borderId="115" xfId="1" applyNumberFormat="1" applyFont="1" applyBorder="1" applyAlignment="1">
      <alignment horizontal="right"/>
    </xf>
    <xf numFmtId="168" fontId="19" fillId="0" borderId="115" xfId="0" applyNumberFormat="1" applyFont="1" applyBorder="1"/>
    <xf numFmtId="7" fontId="19" fillId="0" borderId="116" xfId="0" applyNumberFormat="1" applyFont="1" applyBorder="1"/>
    <xf numFmtId="0" fontId="19" fillId="0" borderId="150" xfId="8" applyFont="1" applyBorder="1" applyAlignment="1">
      <alignment vertical="center"/>
    </xf>
    <xf numFmtId="4" fontId="19" fillId="0" borderId="150" xfId="1" applyNumberFormat="1" applyFont="1" applyBorder="1" applyAlignment="1">
      <alignment horizontal="right" vertical="center"/>
    </xf>
    <xf numFmtId="37" fontId="20" fillId="0" borderId="148" xfId="1" applyFont="1" applyBorder="1" applyAlignment="1">
      <alignment vertical="center"/>
    </xf>
    <xf numFmtId="37" fontId="19" fillId="0" borderId="138" xfId="1" applyFont="1" applyBorder="1" applyAlignment="1">
      <alignment vertical="center"/>
    </xf>
    <xf numFmtId="37" fontId="19" fillId="0" borderId="139" xfId="1" applyFont="1" applyBorder="1" applyAlignment="1">
      <alignment vertical="center"/>
    </xf>
    <xf numFmtId="4" fontId="19" fillId="0" borderId="134" xfId="1" applyNumberFormat="1" applyFont="1" applyBorder="1" applyAlignment="1">
      <alignment horizontal="right" vertical="center"/>
    </xf>
    <xf numFmtId="37" fontId="20" fillId="0" borderId="156" xfId="1" applyFont="1" applyBorder="1" applyAlignment="1">
      <alignment vertical="center"/>
    </xf>
    <xf numFmtId="37" fontId="19" fillId="0" borderId="145" xfId="1" applyFont="1" applyBorder="1" applyAlignment="1">
      <alignment vertical="center"/>
    </xf>
    <xf numFmtId="37" fontId="19" fillId="0" borderId="146" xfId="1" applyFont="1" applyBorder="1" applyAlignment="1">
      <alignment horizontal="right" vertical="center"/>
    </xf>
    <xf numFmtId="4" fontId="19" fillId="0" borderId="146" xfId="1" applyNumberFormat="1" applyFont="1" applyBorder="1" applyAlignment="1">
      <alignment horizontal="right" vertical="center"/>
    </xf>
    <xf numFmtId="3" fontId="19" fillId="0" borderId="150" xfId="1" applyNumberFormat="1" applyFont="1" applyBorder="1" applyAlignment="1">
      <alignment horizontal="right" vertical="center"/>
    </xf>
    <xf numFmtId="3" fontId="19" fillId="0" borderId="154" xfId="1" applyNumberFormat="1" applyFont="1" applyBorder="1" applyAlignment="1">
      <alignment horizontal="right" vertical="center"/>
    </xf>
    <xf numFmtId="37" fontId="20" fillId="0" borderId="139" xfId="1" applyFont="1" applyBorder="1" applyAlignment="1">
      <alignment horizontal="right" vertical="center"/>
    </xf>
    <xf numFmtId="4" fontId="20" fillId="0" borderId="134" xfId="1" applyNumberFormat="1" applyFont="1" applyBorder="1" applyAlignment="1">
      <alignment horizontal="right" vertical="center"/>
    </xf>
    <xf numFmtId="3" fontId="19" fillId="0" borderId="134" xfId="1" applyNumberFormat="1" applyFont="1" applyBorder="1" applyAlignment="1">
      <alignment horizontal="right" vertical="center"/>
    </xf>
    <xf numFmtId="4" fontId="19" fillId="0" borderId="154" xfId="1" applyNumberFormat="1" applyFont="1" applyBorder="1" applyAlignment="1">
      <alignment horizontal="right" vertical="center"/>
    </xf>
    <xf numFmtId="37" fontId="19" fillId="0" borderId="152" xfId="1" applyFont="1" applyBorder="1" applyAlignment="1">
      <alignment vertical="center"/>
    </xf>
    <xf numFmtId="37" fontId="19" fillId="0" borderId="153" xfId="1" applyFont="1" applyBorder="1" applyAlignment="1">
      <alignment vertical="center"/>
    </xf>
    <xf numFmtId="3" fontId="26" fillId="10" borderId="158" xfId="1" applyNumberFormat="1" applyFont="1" applyFill="1" applyBorder="1" applyAlignment="1">
      <alignment horizontal="right" vertical="center"/>
    </xf>
    <xf numFmtId="4" fontId="26" fillId="10" borderId="158" xfId="1" applyNumberFormat="1" applyFont="1" applyFill="1" applyBorder="1" applyAlignment="1">
      <alignment horizontal="right" vertical="center"/>
    </xf>
    <xf numFmtId="44" fontId="26" fillId="10" borderId="159" xfId="1" applyNumberFormat="1" applyFont="1" applyFill="1" applyBorder="1" applyAlignment="1">
      <alignment horizontal="right" vertical="center"/>
    </xf>
    <xf numFmtId="4" fontId="20" fillId="0" borderId="160" xfId="1" applyNumberFormat="1" applyFont="1" applyBorder="1" applyAlignment="1">
      <alignment horizontal="right" vertical="center"/>
    </xf>
    <xf numFmtId="37" fontId="20" fillId="0" borderId="160" xfId="8" applyNumberFormat="1" applyFont="1" applyBorder="1" applyAlignment="1">
      <alignment vertical="center"/>
    </xf>
    <xf numFmtId="2" fontId="19" fillId="0" borderId="133" xfId="1" applyNumberFormat="1" applyFont="1" applyBorder="1" applyAlignment="1">
      <alignment horizontal="right" vertical="center"/>
    </xf>
    <xf numFmtId="2" fontId="19" fillId="0" borderId="150" xfId="1" applyNumberFormat="1" applyFont="1" applyBorder="1" applyAlignment="1">
      <alignment horizontal="right" vertical="center"/>
    </xf>
    <xf numFmtId="2" fontId="19" fillId="0" borderId="150" xfId="8" applyNumberFormat="1" applyFont="1" applyBorder="1" applyAlignment="1">
      <alignment vertical="center"/>
    </xf>
    <xf numFmtId="2" fontId="20" fillId="0" borderId="160" xfId="8" applyNumberFormat="1" applyFont="1" applyBorder="1" applyAlignment="1">
      <alignment vertical="center"/>
    </xf>
    <xf numFmtId="2" fontId="19" fillId="0" borderId="134" xfId="1" applyNumberFormat="1" applyFont="1" applyBorder="1" applyAlignment="1">
      <alignment horizontal="right" vertical="center"/>
    </xf>
    <xf numFmtId="2" fontId="19" fillId="0" borderId="146" xfId="1" applyNumberFormat="1" applyFont="1" applyBorder="1" applyAlignment="1">
      <alignment horizontal="right" vertical="center"/>
    </xf>
    <xf numFmtId="2" fontId="19" fillId="0" borderId="154" xfId="1" applyNumberFormat="1" applyFont="1" applyBorder="1" applyAlignment="1">
      <alignment horizontal="right" vertical="center"/>
    </xf>
    <xf numFmtId="2" fontId="20" fillId="0" borderId="134" xfId="0" applyNumberFormat="1" applyFont="1" applyBorder="1" applyAlignment="1">
      <alignment vertical="center"/>
    </xf>
    <xf numFmtId="2" fontId="20" fillId="0" borderId="134" xfId="1" applyNumberFormat="1" applyFont="1" applyBorder="1" applyAlignment="1">
      <alignment horizontal="right" vertical="center"/>
    </xf>
    <xf numFmtId="2" fontId="19" fillId="0" borderId="0" xfId="8" applyNumberFormat="1" applyFont="1"/>
    <xf numFmtId="4" fontId="19" fillId="0" borderId="154" xfId="0" applyNumberFormat="1" applyFont="1" applyBorder="1" applyAlignment="1">
      <alignment horizontal="right" vertical="center"/>
    </xf>
    <xf numFmtId="4" fontId="20" fillId="0" borderId="134" xfId="0" applyNumberFormat="1" applyFont="1" applyBorder="1" applyAlignment="1">
      <alignment vertical="center"/>
    </xf>
    <xf numFmtId="3" fontId="20" fillId="0" borderId="160" xfId="1" applyNumberFormat="1" applyFont="1" applyBorder="1" applyAlignment="1">
      <alignment horizontal="right" vertical="center"/>
    </xf>
    <xf numFmtId="1" fontId="19" fillId="0" borderId="134" xfId="1" applyNumberFormat="1" applyFont="1" applyBorder="1" applyAlignment="1">
      <alignment horizontal="right" vertical="center"/>
    </xf>
    <xf numFmtId="1" fontId="20" fillId="0" borderId="134" xfId="1" applyNumberFormat="1" applyFont="1" applyBorder="1" applyAlignment="1">
      <alignment horizontal="right" vertical="center"/>
    </xf>
    <xf numFmtId="3" fontId="20" fillId="0" borderId="134" xfId="1" applyNumberFormat="1" applyFont="1" applyBorder="1" applyAlignment="1">
      <alignment horizontal="right" vertical="center"/>
    </xf>
    <xf numFmtId="4" fontId="19" fillId="0" borderId="0" xfId="8" applyNumberFormat="1" applyFont="1"/>
    <xf numFmtId="2" fontId="20" fillId="0" borderId="0" xfId="8" applyNumberFormat="1" applyFont="1"/>
    <xf numFmtId="4" fontId="20" fillId="0" borderId="0" xfId="8" applyNumberFormat="1" applyFont="1"/>
    <xf numFmtId="4" fontId="19" fillId="0" borderId="133" xfId="1" applyNumberFormat="1" applyFont="1" applyBorder="1" applyAlignment="1">
      <alignment horizontal="right" vertical="center"/>
    </xf>
    <xf numFmtId="4" fontId="19" fillId="0" borderId="150" xfId="8" applyNumberFormat="1" applyFont="1" applyBorder="1" applyAlignment="1">
      <alignment vertical="center"/>
    </xf>
    <xf numFmtId="4" fontId="20" fillId="0" borderId="160" xfId="8" applyNumberFormat="1" applyFont="1" applyBorder="1" applyAlignment="1">
      <alignment vertical="center"/>
    </xf>
    <xf numFmtId="3" fontId="19" fillId="0" borderId="0" xfId="0" applyNumberFormat="1" applyFont="1"/>
    <xf numFmtId="3" fontId="19" fillId="0" borderId="0" xfId="0" applyNumberFormat="1" applyFont="1" applyAlignment="1">
      <alignment horizontal="center"/>
    </xf>
    <xf numFmtId="3" fontId="19" fillId="0" borderId="133" xfId="1" applyNumberFormat="1" applyFont="1" applyBorder="1" applyAlignment="1">
      <alignment horizontal="right" vertical="center"/>
    </xf>
    <xf numFmtId="3" fontId="19" fillId="0" borderId="146" xfId="1" applyNumberFormat="1" applyFont="1" applyBorder="1" applyAlignment="1">
      <alignment horizontal="right" vertical="center"/>
    </xf>
    <xf numFmtId="3" fontId="19" fillId="0" borderId="154" xfId="0" applyNumberFormat="1" applyFont="1" applyBorder="1" applyAlignment="1">
      <alignment horizontal="right" vertical="center"/>
    </xf>
    <xf numFmtId="3" fontId="20" fillId="0" borderId="134" xfId="0" applyNumberFormat="1" applyFont="1" applyBorder="1" applyAlignment="1">
      <alignment vertical="center"/>
    </xf>
    <xf numFmtId="3" fontId="20" fillId="0" borderId="0" xfId="8" applyNumberFormat="1" applyFont="1"/>
    <xf numFmtId="3" fontId="19" fillId="0" borderId="0" xfId="8" applyNumberFormat="1" applyFont="1"/>
    <xf numFmtId="44" fontId="19" fillId="5" borderId="164" xfId="1" applyNumberFormat="1" applyFont="1" applyFill="1" applyBorder="1" applyAlignment="1">
      <alignment horizontal="right" vertical="center"/>
    </xf>
    <xf numFmtId="44" fontId="19" fillId="2" borderId="151" xfId="0" applyNumberFormat="1" applyFont="1" applyFill="1" applyBorder="1" applyAlignment="1">
      <alignment vertical="center"/>
    </xf>
    <xf numFmtId="44" fontId="20" fillId="2" borderId="165" xfId="0" applyNumberFormat="1" applyFont="1" applyFill="1" applyBorder="1" applyAlignment="1">
      <alignment vertical="center"/>
    </xf>
    <xf numFmtId="44" fontId="19" fillId="5" borderId="151" xfId="1" applyNumberFormat="1" applyFont="1" applyFill="1" applyBorder="1" applyAlignment="1">
      <alignment horizontal="right" vertical="center"/>
    </xf>
    <xf numFmtId="44" fontId="19" fillId="5" borderId="144" xfId="1" applyNumberFormat="1" applyFont="1" applyFill="1" applyBorder="1" applyAlignment="1">
      <alignment horizontal="right" vertical="center"/>
    </xf>
    <xf numFmtId="44" fontId="19" fillId="5" borderId="147" xfId="1" applyNumberFormat="1" applyFont="1" applyFill="1" applyBorder="1" applyAlignment="1">
      <alignment horizontal="right" vertical="center"/>
    </xf>
    <xf numFmtId="44" fontId="19" fillId="5" borderId="155" xfId="1" applyNumberFormat="1" applyFont="1" applyFill="1" applyBorder="1" applyAlignment="1">
      <alignment horizontal="right" vertical="center"/>
    </xf>
    <xf numFmtId="44" fontId="20" fillId="2" borderId="144" xfId="0" applyNumberFormat="1" applyFont="1" applyFill="1" applyBorder="1" applyAlignment="1">
      <alignment vertical="center"/>
    </xf>
    <xf numFmtId="44" fontId="20" fillId="5" borderId="144" xfId="1" applyNumberFormat="1" applyFont="1" applyFill="1" applyBorder="1" applyAlignment="1">
      <alignment horizontal="right" vertical="center"/>
    </xf>
    <xf numFmtId="3" fontId="19" fillId="0" borderId="150" xfId="1" quotePrefix="1" applyNumberFormat="1" applyFont="1" applyBorder="1" applyAlignment="1">
      <alignment horizontal="right" vertical="center"/>
    </xf>
    <xf numFmtId="3" fontId="19" fillId="0" borderId="154" xfId="0" quotePrefix="1" applyNumberFormat="1" applyFont="1" applyBorder="1" applyAlignment="1">
      <alignment horizontal="right" vertical="center"/>
    </xf>
    <xf numFmtId="3" fontId="19" fillId="0" borderId="134" xfId="1" quotePrefix="1" applyNumberFormat="1" applyFont="1" applyBorder="1" applyAlignment="1">
      <alignment horizontal="right" vertical="center"/>
    </xf>
    <xf numFmtId="3" fontId="19" fillId="0" borderId="154" xfId="1" quotePrefix="1" applyNumberFormat="1" applyFont="1" applyBorder="1" applyAlignment="1">
      <alignment horizontal="right" vertical="center"/>
    </xf>
    <xf numFmtId="3" fontId="26" fillId="10" borderId="166" xfId="1" applyNumberFormat="1" applyFont="1" applyFill="1" applyBorder="1" applyAlignment="1">
      <alignment horizontal="center" vertical="center"/>
    </xf>
    <xf numFmtId="3" fontId="20" fillId="0" borderId="0" xfId="8" applyNumberFormat="1" applyFont="1" applyAlignment="1">
      <alignment horizontal="center"/>
    </xf>
    <xf numFmtId="3" fontId="19" fillId="0" borderId="0" xfId="8" applyNumberFormat="1" applyFont="1" applyAlignment="1">
      <alignment horizontal="center"/>
    </xf>
    <xf numFmtId="4" fontId="19" fillId="2" borderId="151" xfId="0" applyNumberFormat="1" applyFont="1" applyFill="1" applyBorder="1" applyAlignment="1">
      <alignment vertical="center"/>
    </xf>
    <xf numFmtId="4" fontId="20" fillId="2" borderId="165" xfId="0" applyNumberFormat="1" applyFont="1" applyFill="1" applyBorder="1" applyAlignment="1">
      <alignment vertical="center"/>
    </xf>
    <xf numFmtId="4" fontId="19" fillId="5" borderId="151" xfId="1" applyNumberFormat="1" applyFont="1" applyFill="1" applyBorder="1" applyAlignment="1">
      <alignment horizontal="right" vertical="center"/>
    </xf>
    <xf numFmtId="4" fontId="19" fillId="5" borderId="144" xfId="1" applyNumberFormat="1" applyFont="1" applyFill="1" applyBorder="1" applyAlignment="1">
      <alignment horizontal="right" vertical="center"/>
    </xf>
    <xf numFmtId="4" fontId="19" fillId="5" borderId="147" xfId="1" applyNumberFormat="1" applyFont="1" applyFill="1" applyBorder="1" applyAlignment="1">
      <alignment horizontal="right" vertical="center"/>
    </xf>
    <xf numFmtId="4" fontId="19" fillId="5" borderId="155" xfId="1" applyNumberFormat="1" applyFont="1" applyFill="1" applyBorder="1" applyAlignment="1">
      <alignment horizontal="right" vertical="center"/>
    </xf>
    <xf numFmtId="4" fontId="20" fillId="2" borderId="144" xfId="0" applyNumberFormat="1" applyFont="1" applyFill="1" applyBorder="1" applyAlignment="1">
      <alignment vertical="center"/>
    </xf>
    <xf numFmtId="4" fontId="20" fillId="5" borderId="144" xfId="1" applyNumberFormat="1" applyFont="1" applyFill="1" applyBorder="1" applyAlignment="1">
      <alignment horizontal="right" vertical="center"/>
    </xf>
    <xf numFmtId="4" fontId="26" fillId="10" borderId="159" xfId="1" applyNumberFormat="1" applyFont="1" applyFill="1" applyBorder="1" applyAlignment="1">
      <alignment horizontal="right" vertical="center"/>
    </xf>
    <xf numFmtId="3" fontId="19" fillId="5" borderId="167" xfId="1" applyNumberFormat="1" applyFont="1" applyFill="1" applyBorder="1" applyAlignment="1">
      <alignment horizontal="center" vertical="center"/>
    </xf>
    <xf numFmtId="3" fontId="19" fillId="5" borderId="0" xfId="1" applyNumberFormat="1" applyFont="1" applyFill="1" applyAlignment="1">
      <alignment horizontal="center" vertical="center"/>
    </xf>
    <xf numFmtId="3" fontId="20" fillId="5" borderId="168" xfId="1" applyNumberFormat="1" applyFont="1" applyFill="1" applyBorder="1" applyAlignment="1">
      <alignment horizontal="center" vertical="center"/>
    </xf>
    <xf numFmtId="3" fontId="19" fillId="5" borderId="169" xfId="1" applyNumberFormat="1" applyFont="1" applyFill="1" applyBorder="1" applyAlignment="1">
      <alignment horizontal="center" vertical="center"/>
    </xf>
    <xf numFmtId="3" fontId="20" fillId="5" borderId="170" xfId="0" applyNumberFormat="1" applyFont="1" applyFill="1" applyBorder="1" applyAlignment="1">
      <alignment horizontal="center" vertical="center"/>
    </xf>
    <xf numFmtId="3" fontId="19" fillId="5" borderId="92" xfId="1" applyNumberFormat="1" applyFont="1" applyFill="1" applyBorder="1" applyAlignment="1">
      <alignment horizontal="center" vertical="center"/>
    </xf>
    <xf numFmtId="3" fontId="20" fillId="5" borderId="170" xfId="1" applyNumberFormat="1" applyFont="1" applyFill="1" applyBorder="1" applyAlignment="1">
      <alignment horizontal="center" vertical="center"/>
    </xf>
    <xf numFmtId="3" fontId="19" fillId="5" borderId="170" xfId="1" applyNumberFormat="1" applyFont="1" applyFill="1" applyBorder="1" applyAlignment="1">
      <alignment horizontal="center" vertical="center"/>
    </xf>
    <xf numFmtId="3" fontId="19" fillId="5" borderId="92" xfId="0" applyNumberFormat="1" applyFont="1" applyFill="1" applyBorder="1" applyAlignment="1">
      <alignment horizontal="center" vertical="center"/>
    </xf>
    <xf numFmtId="3" fontId="19" fillId="0" borderId="150" xfId="8" applyNumberFormat="1" applyFont="1" applyBorder="1" applyAlignment="1">
      <alignment vertical="center"/>
    </xf>
    <xf numFmtId="3" fontId="20" fillId="0" borderId="160" xfId="8" applyNumberFormat="1" applyFont="1" applyBorder="1" applyAlignment="1">
      <alignment vertical="center"/>
    </xf>
    <xf numFmtId="2" fontId="19" fillId="7" borderId="171" xfId="0" applyNumberFormat="1" applyFont="1" applyFill="1" applyBorder="1" applyAlignment="1">
      <alignment horizontal="center"/>
    </xf>
    <xf numFmtId="2" fontId="19" fillId="7" borderId="161" xfId="0" applyNumberFormat="1" applyFont="1" applyFill="1" applyBorder="1" applyAlignment="1">
      <alignment horizontal="center"/>
    </xf>
    <xf numFmtId="7" fontId="19" fillId="0" borderId="115" xfId="0" applyNumberFormat="1" applyFont="1" applyBorder="1"/>
    <xf numFmtId="44" fontId="19" fillId="5" borderId="167" xfId="1" applyNumberFormat="1" applyFont="1" applyFill="1" applyBorder="1" applyAlignment="1">
      <alignment horizontal="right" vertical="center"/>
    </xf>
    <xf numFmtId="4" fontId="19" fillId="2" borderId="0" xfId="0" applyNumberFormat="1" applyFont="1" applyFill="1" applyAlignment="1">
      <alignment horizontal="right" vertical="center"/>
    </xf>
    <xf numFmtId="4" fontId="20" fillId="2" borderId="168" xfId="0" applyNumberFormat="1" applyFont="1" applyFill="1" applyBorder="1" applyAlignment="1">
      <alignment horizontal="right" vertical="center"/>
    </xf>
    <xf numFmtId="4" fontId="19" fillId="5" borderId="0" xfId="1" applyNumberFormat="1" applyFont="1" applyFill="1" applyAlignment="1">
      <alignment horizontal="right" vertical="center"/>
    </xf>
    <xf numFmtId="4" fontId="19" fillId="5" borderId="170" xfId="1" applyNumberFormat="1" applyFont="1" applyFill="1" applyBorder="1" applyAlignment="1">
      <alignment horizontal="right" vertical="center"/>
    </xf>
    <xf numFmtId="4" fontId="19" fillId="5" borderId="169" xfId="1" applyNumberFormat="1" applyFont="1" applyFill="1" applyBorder="1" applyAlignment="1">
      <alignment horizontal="right" vertical="center"/>
    </xf>
    <xf numFmtId="4" fontId="19" fillId="5" borderId="92" xfId="1" applyNumberFormat="1" applyFont="1" applyFill="1" applyBorder="1" applyAlignment="1">
      <alignment horizontal="right" vertical="center"/>
    </xf>
    <xf numFmtId="4" fontId="20" fillId="2" borderId="170" xfId="0" applyNumberFormat="1" applyFont="1" applyFill="1" applyBorder="1" applyAlignment="1">
      <alignment horizontal="right" vertical="center"/>
    </xf>
    <xf numFmtId="4" fontId="20" fillId="5" borderId="170" xfId="1" applyNumberFormat="1" applyFont="1" applyFill="1" applyBorder="1" applyAlignment="1">
      <alignment horizontal="right" vertical="center"/>
    </xf>
    <xf numFmtId="4" fontId="26" fillId="10" borderId="166" xfId="1" applyNumberFormat="1" applyFont="1" applyFill="1" applyBorder="1" applyAlignment="1">
      <alignment horizontal="right" vertical="center"/>
    </xf>
    <xf numFmtId="0" fontId="19" fillId="2" borderId="151" xfId="0" applyFont="1" applyFill="1" applyBorder="1"/>
    <xf numFmtId="0" fontId="19" fillId="12" borderId="164" xfId="0" applyFont="1" applyFill="1" applyBorder="1"/>
    <xf numFmtId="0" fontId="19" fillId="12" borderId="172" xfId="0" applyFont="1" applyFill="1" applyBorder="1"/>
    <xf numFmtId="0" fontId="19" fillId="2" borderId="155" xfId="0" applyFont="1" applyFill="1" applyBorder="1"/>
    <xf numFmtId="0" fontId="19" fillId="2" borderId="165" xfId="0" applyFont="1" applyFill="1" applyBorder="1"/>
    <xf numFmtId="0" fontId="19" fillId="2" borderId="144" xfId="0" applyFont="1" applyFill="1" applyBorder="1"/>
    <xf numFmtId="0" fontId="0" fillId="0" borderId="0" xfId="0" applyAlignment="1">
      <alignment horizontal="center"/>
    </xf>
    <xf numFmtId="0" fontId="8" fillId="0" borderId="0" xfId="0" applyFont="1" applyAlignment="1">
      <alignment vertical="center"/>
    </xf>
    <xf numFmtId="10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4" fontId="0" fillId="0" borderId="0" xfId="0" applyNumberFormat="1" applyAlignment="1">
      <alignment horizontal="center"/>
    </xf>
    <xf numFmtId="10" fontId="8" fillId="0" borderId="0" xfId="0" applyNumberFormat="1" applyFont="1" applyAlignment="1">
      <alignment horizontal="center" vertical="center"/>
    </xf>
    <xf numFmtId="37" fontId="19" fillId="0" borderId="148" xfId="1" applyFont="1" applyBorder="1" applyAlignment="1">
      <alignment horizontal="right" vertical="center"/>
    </xf>
    <xf numFmtId="37" fontId="19" fillId="0" borderId="138" xfId="1" applyFont="1" applyBorder="1" applyAlignment="1">
      <alignment horizontal="right" vertical="center"/>
    </xf>
    <xf numFmtId="37" fontId="19" fillId="0" borderId="152" xfId="1" applyFont="1" applyBorder="1" applyAlignment="1">
      <alignment horizontal="right" vertical="center"/>
    </xf>
    <xf numFmtId="4" fontId="19" fillId="13" borderId="0" xfId="1" applyNumberFormat="1" applyFont="1" applyFill="1" applyAlignment="1">
      <alignment horizontal="right" vertical="center"/>
    </xf>
    <xf numFmtId="4" fontId="19" fillId="14" borderId="0" xfId="0" applyNumberFormat="1" applyFont="1" applyFill="1" applyAlignment="1">
      <alignment horizontal="right" vertical="center"/>
    </xf>
    <xf numFmtId="3" fontId="19" fillId="0" borderId="0" xfId="0" applyNumberFormat="1" applyFont="1" applyAlignment="1">
      <alignment horizontal="right" vertical="center"/>
    </xf>
    <xf numFmtId="0" fontId="19" fillId="0" borderId="0" xfId="0" applyFont="1" applyAlignment="1">
      <alignment horizontal="right" vertical="center"/>
    </xf>
    <xf numFmtId="3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4" fontId="19" fillId="0" borderId="0" xfId="0" applyNumberFormat="1" applyFont="1"/>
    <xf numFmtId="4" fontId="20" fillId="0" borderId="0" xfId="0" applyNumberFormat="1" applyFont="1" applyAlignment="1">
      <alignment horizontal="center"/>
    </xf>
    <xf numFmtId="4" fontId="27" fillId="0" borderId="0" xfId="0" applyNumberFormat="1" applyFont="1" applyAlignment="1">
      <alignment horizontal="center" wrapText="1"/>
    </xf>
    <xf numFmtId="4" fontId="19" fillId="0" borderId="0" xfId="0" applyNumberFormat="1" applyFont="1" applyAlignment="1">
      <alignment horizontal="right" vertical="center"/>
    </xf>
    <xf numFmtId="4" fontId="19" fillId="14" borderId="0" xfId="0" applyNumberFormat="1" applyFont="1" applyFill="1"/>
    <xf numFmtId="4" fontId="19" fillId="0" borderId="0" xfId="1" applyNumberFormat="1" applyFont="1" applyAlignment="1">
      <alignment horizontal="right" vertical="center"/>
    </xf>
    <xf numFmtId="4" fontId="26" fillId="12" borderId="173" xfId="8" applyNumberFormat="1" applyFont="1" applyFill="1" applyBorder="1" applyAlignment="1">
      <alignment vertical="center"/>
    </xf>
    <xf numFmtId="0" fontId="28" fillId="0" borderId="0" xfId="0" applyFont="1"/>
    <xf numFmtId="168" fontId="19" fillId="0" borderId="0" xfId="0" applyNumberFormat="1" applyFont="1"/>
    <xf numFmtId="4" fontId="19" fillId="0" borderId="0" xfId="8" quotePrefix="1" applyNumberFormat="1" applyFont="1"/>
    <xf numFmtId="10" fontId="19" fillId="0" borderId="0" xfId="0" applyNumberFormat="1" applyFont="1"/>
    <xf numFmtId="0" fontId="19" fillId="0" borderId="0" xfId="0" applyFont="1" applyAlignment="1">
      <alignment horizontal="right"/>
    </xf>
    <xf numFmtId="2" fontId="19" fillId="0" borderId="0" xfId="0" applyNumberFormat="1" applyFont="1" applyAlignment="1">
      <alignment horizontal="right"/>
    </xf>
    <xf numFmtId="0" fontId="28" fillId="0" borderId="0" xfId="9" applyFont="1" applyAlignment="1">
      <alignment horizontal="center"/>
    </xf>
    <xf numFmtId="37" fontId="19" fillId="0" borderId="0" xfId="1" applyFont="1" applyAlignment="1">
      <alignment horizontal="right"/>
    </xf>
    <xf numFmtId="168" fontId="19" fillId="0" borderId="0" xfId="1" applyNumberFormat="1" applyFont="1" applyAlignment="1">
      <alignment horizontal="right"/>
    </xf>
    <xf numFmtId="4" fontId="30" fillId="0" borderId="0" xfId="0" applyNumberFormat="1" applyFont="1"/>
    <xf numFmtId="4" fontId="26" fillId="12" borderId="173" xfId="8" applyNumberFormat="1" applyFont="1" applyFill="1" applyBorder="1" applyAlignment="1" applyProtection="1">
      <alignment vertical="center"/>
      <protection locked="0"/>
    </xf>
    <xf numFmtId="0" fontId="26" fillId="15" borderId="167" xfId="9" applyFont="1" applyFill="1" applyBorder="1" applyAlignment="1" applyProtection="1">
      <alignment horizontal="left" vertical="center" wrapText="1"/>
      <protection locked="0"/>
    </xf>
    <xf numFmtId="0" fontId="26" fillId="15" borderId="180" xfId="9" applyFont="1" applyFill="1" applyBorder="1" applyAlignment="1" applyProtection="1">
      <alignment horizontal="left" vertical="center" wrapText="1"/>
      <protection locked="0"/>
    </xf>
    <xf numFmtId="0" fontId="20" fillId="0" borderId="140" xfId="1" applyNumberFormat="1" applyFont="1" applyBorder="1" applyAlignment="1" applyProtection="1">
      <alignment vertical="center"/>
      <protection locked="0"/>
    </xf>
    <xf numFmtId="37" fontId="20" fillId="0" borderId="167" xfId="1" applyFont="1" applyBorder="1" applyAlignment="1" applyProtection="1">
      <alignment vertical="center"/>
      <protection locked="0"/>
    </xf>
    <xf numFmtId="37" fontId="19" fillId="0" borderId="137" xfId="1" applyFont="1" applyBorder="1" applyAlignment="1" applyProtection="1">
      <alignment vertical="center"/>
      <protection locked="0"/>
    </xf>
    <xf numFmtId="3" fontId="19" fillId="0" borderId="133" xfId="1" applyNumberFormat="1" applyFont="1" applyBorder="1" applyAlignment="1" applyProtection="1">
      <alignment horizontal="right" vertical="center"/>
      <protection locked="0"/>
    </xf>
    <xf numFmtId="4" fontId="19" fillId="0" borderId="133" xfId="1" applyNumberFormat="1" applyFont="1" applyBorder="1" applyAlignment="1" applyProtection="1">
      <alignment horizontal="right" vertical="center"/>
      <protection locked="0"/>
    </xf>
    <xf numFmtId="3" fontId="19" fillId="5" borderId="167" xfId="1" applyNumberFormat="1" applyFont="1" applyFill="1" applyBorder="1" applyAlignment="1" applyProtection="1">
      <alignment horizontal="center" vertical="center"/>
      <protection locked="0"/>
    </xf>
    <xf numFmtId="4" fontId="19" fillId="5" borderId="167" xfId="1" applyNumberFormat="1" applyFont="1" applyFill="1" applyBorder="1" applyAlignment="1" applyProtection="1">
      <alignment horizontal="right" vertical="center"/>
      <protection locked="0"/>
    </xf>
    <xf numFmtId="3" fontId="19" fillId="5" borderId="164" xfId="1" applyNumberFormat="1" applyFont="1" applyFill="1" applyBorder="1" applyAlignment="1" applyProtection="1">
      <alignment horizontal="center" vertical="center"/>
      <protection locked="0"/>
    </xf>
    <xf numFmtId="0" fontId="19" fillId="0" borderId="148" xfId="1" applyNumberFormat="1" applyFont="1" applyBorder="1" applyAlignment="1" applyProtection="1">
      <alignment horizontal="right" vertical="center"/>
      <protection locked="0"/>
    </xf>
    <xf numFmtId="37" fontId="19" fillId="0" borderId="0" xfId="1" applyFont="1" applyAlignment="1" applyProtection="1">
      <alignment horizontal="right" vertical="center"/>
      <protection locked="0"/>
    </xf>
    <xf numFmtId="37" fontId="19" fillId="0" borderId="149" xfId="1" applyFont="1" applyBorder="1" applyAlignment="1" applyProtection="1">
      <alignment vertical="center"/>
      <protection locked="0"/>
    </xf>
    <xf numFmtId="3" fontId="19" fillId="0" borderId="150" xfId="1" applyNumberFormat="1" applyFont="1" applyBorder="1" applyAlignment="1" applyProtection="1">
      <alignment horizontal="right" vertical="center"/>
      <protection locked="0"/>
    </xf>
    <xf numFmtId="4" fontId="19" fillId="0" borderId="150" xfId="1" applyNumberFormat="1" applyFont="1" applyBorder="1" applyAlignment="1" applyProtection="1">
      <alignment horizontal="right" vertical="center"/>
      <protection locked="0"/>
    </xf>
    <xf numFmtId="3" fontId="19" fillId="5" borderId="0" xfId="1" applyNumberFormat="1" applyFont="1" applyFill="1" applyAlignment="1" applyProtection="1">
      <alignment horizontal="center" vertical="center"/>
      <protection locked="0"/>
    </xf>
    <xf numFmtId="4" fontId="19" fillId="2" borderId="0" xfId="0" applyNumberFormat="1" applyFont="1" applyFill="1" applyAlignment="1" applyProtection="1">
      <alignment horizontal="right" vertical="center"/>
      <protection locked="0"/>
    </xf>
    <xf numFmtId="3" fontId="19" fillId="5" borderId="151" xfId="1" applyNumberFormat="1" applyFont="1" applyFill="1" applyBorder="1" applyAlignment="1" applyProtection="1">
      <alignment horizontal="center" vertical="center"/>
      <protection locked="0"/>
    </xf>
    <xf numFmtId="3" fontId="19" fillId="0" borderId="150" xfId="8" applyNumberFormat="1" applyFont="1" applyBorder="1" applyAlignment="1" applyProtection="1">
      <alignment vertical="center"/>
      <protection locked="0"/>
    </xf>
    <xf numFmtId="4" fontId="19" fillId="0" borderId="150" xfId="8" applyNumberFormat="1" applyFont="1" applyBorder="1" applyAlignment="1" applyProtection="1">
      <alignment vertical="center"/>
      <protection locked="0"/>
    </xf>
    <xf numFmtId="3" fontId="19" fillId="0" borderId="150" xfId="1" quotePrefix="1" applyNumberFormat="1" applyFont="1" applyBorder="1" applyAlignment="1" applyProtection="1">
      <alignment horizontal="right" vertical="center"/>
      <protection locked="0"/>
    </xf>
    <xf numFmtId="0" fontId="19" fillId="0" borderId="138" xfId="1" applyNumberFormat="1" applyFont="1" applyBorder="1" applyAlignment="1" applyProtection="1">
      <alignment vertical="center"/>
      <protection locked="0"/>
    </xf>
    <xf numFmtId="37" fontId="19" fillId="0" borderId="170" xfId="1" applyFont="1" applyBorder="1" applyAlignment="1" applyProtection="1">
      <alignment vertical="center"/>
      <protection locked="0"/>
    </xf>
    <xf numFmtId="37" fontId="20" fillId="0" borderId="139" xfId="1" applyFont="1" applyBorder="1" applyAlignment="1" applyProtection="1">
      <alignment horizontal="right" vertical="center"/>
      <protection locked="0"/>
    </xf>
    <xf numFmtId="3" fontId="20" fillId="0" borderId="160" xfId="8" applyNumberFormat="1" applyFont="1" applyBorder="1" applyAlignment="1" applyProtection="1">
      <alignment vertical="center"/>
      <protection locked="0"/>
    </xf>
    <xf numFmtId="4" fontId="20" fillId="0" borderId="160" xfId="8" applyNumberFormat="1" applyFont="1" applyBorder="1" applyAlignment="1" applyProtection="1">
      <alignment vertical="center"/>
      <protection locked="0"/>
    </xf>
    <xf numFmtId="3" fontId="20" fillId="5" borderId="168" xfId="1" applyNumberFormat="1" applyFont="1" applyFill="1" applyBorder="1" applyAlignment="1" applyProtection="1">
      <alignment horizontal="center" vertical="center"/>
      <protection locked="0"/>
    </xf>
    <xf numFmtId="4" fontId="20" fillId="2" borderId="168" xfId="0" applyNumberFormat="1" applyFont="1" applyFill="1" applyBorder="1" applyAlignment="1" applyProtection="1">
      <alignment horizontal="right" vertical="center"/>
      <protection locked="0"/>
    </xf>
    <xf numFmtId="3" fontId="20" fillId="5" borderId="165" xfId="1" applyNumberFormat="1" applyFont="1" applyFill="1" applyBorder="1" applyAlignment="1" applyProtection="1">
      <alignment horizontal="center" vertical="center"/>
      <protection locked="0"/>
    </xf>
    <xf numFmtId="0" fontId="20" fillId="0" borderId="148" xfId="1" applyNumberFormat="1" applyFont="1" applyBorder="1" applyAlignment="1" applyProtection="1">
      <alignment vertical="center"/>
      <protection locked="0"/>
    </xf>
    <xf numFmtId="37" fontId="20" fillId="0" borderId="0" xfId="1" applyFont="1" applyAlignment="1" applyProtection="1">
      <alignment vertical="center"/>
      <protection locked="0"/>
    </xf>
    <xf numFmtId="4" fontId="19" fillId="5" borderId="0" xfId="1" applyNumberFormat="1" applyFont="1" applyFill="1" applyAlignment="1" applyProtection="1">
      <alignment horizontal="right" vertical="center"/>
      <protection locked="0"/>
    </xf>
    <xf numFmtId="37" fontId="19" fillId="0" borderId="139" xfId="1" applyFont="1" applyBorder="1" applyAlignment="1" applyProtection="1">
      <alignment vertical="center"/>
      <protection locked="0"/>
    </xf>
    <xf numFmtId="3" fontId="19" fillId="0" borderId="134" xfId="1" applyNumberFormat="1" applyFont="1" applyBorder="1" applyAlignment="1" applyProtection="1">
      <alignment horizontal="right" vertical="center"/>
      <protection locked="0"/>
    </xf>
    <xf numFmtId="4" fontId="19" fillId="0" borderId="134" xfId="1" applyNumberFormat="1" applyFont="1" applyBorder="1" applyAlignment="1" applyProtection="1">
      <alignment horizontal="right" vertical="center"/>
      <protection locked="0"/>
    </xf>
    <xf numFmtId="3" fontId="19" fillId="0" borderId="134" xfId="1" quotePrefix="1" applyNumberFormat="1" applyFont="1" applyBorder="1" applyAlignment="1" applyProtection="1">
      <alignment horizontal="right" vertical="center"/>
      <protection locked="0"/>
    </xf>
    <xf numFmtId="3" fontId="19" fillId="5" borderId="170" xfId="1" applyNumberFormat="1" applyFont="1" applyFill="1" applyBorder="1" applyAlignment="1" applyProtection="1">
      <alignment horizontal="center" vertical="center"/>
      <protection locked="0"/>
    </xf>
    <xf numFmtId="4" fontId="19" fillId="5" borderId="170" xfId="1" applyNumberFormat="1" applyFont="1" applyFill="1" applyBorder="1" applyAlignment="1" applyProtection="1">
      <alignment horizontal="right" vertical="center"/>
      <protection locked="0"/>
    </xf>
    <xf numFmtId="3" fontId="19" fillId="5" borderId="144" xfId="1" applyNumberFormat="1" applyFont="1" applyFill="1" applyBorder="1" applyAlignment="1" applyProtection="1">
      <alignment horizontal="center" vertical="center"/>
      <protection locked="0"/>
    </xf>
    <xf numFmtId="0" fontId="20" fillId="0" borderId="156" xfId="1" applyNumberFormat="1" applyFont="1" applyBorder="1" applyAlignment="1" applyProtection="1">
      <alignment vertical="center"/>
      <protection locked="0"/>
    </xf>
    <xf numFmtId="37" fontId="20" fillId="0" borderId="169" xfId="1" applyFont="1" applyBorder="1" applyAlignment="1" applyProtection="1">
      <alignment vertical="center"/>
      <protection locked="0"/>
    </xf>
    <xf numFmtId="37" fontId="19" fillId="0" borderId="145" xfId="1" applyFont="1" applyBorder="1" applyAlignment="1" applyProtection="1">
      <alignment vertical="center"/>
      <protection locked="0"/>
    </xf>
    <xf numFmtId="3" fontId="19" fillId="0" borderId="146" xfId="1" applyNumberFormat="1" applyFont="1" applyBorder="1" applyAlignment="1" applyProtection="1">
      <alignment horizontal="right" vertical="center"/>
      <protection locked="0"/>
    </xf>
    <xf numFmtId="4" fontId="19" fillId="0" borderId="146" xfId="1" applyNumberFormat="1" applyFont="1" applyBorder="1" applyAlignment="1" applyProtection="1">
      <alignment horizontal="right" vertical="center"/>
      <protection locked="0"/>
    </xf>
    <xf numFmtId="3" fontId="19" fillId="5" borderId="169" xfId="1" applyNumberFormat="1" applyFont="1" applyFill="1" applyBorder="1" applyAlignment="1" applyProtection="1">
      <alignment horizontal="center" vertical="center"/>
      <protection locked="0"/>
    </xf>
    <xf numFmtId="4" fontId="19" fillId="5" borderId="169" xfId="1" applyNumberFormat="1" applyFont="1" applyFill="1" applyBorder="1" applyAlignment="1" applyProtection="1">
      <alignment horizontal="right" vertical="center"/>
      <protection locked="0"/>
    </xf>
    <xf numFmtId="3" fontId="19" fillId="5" borderId="147" xfId="1" applyNumberFormat="1" applyFont="1" applyFill="1" applyBorder="1" applyAlignment="1" applyProtection="1">
      <alignment horizontal="center" vertical="center"/>
      <protection locked="0"/>
    </xf>
    <xf numFmtId="3" fontId="19" fillId="0" borderId="154" xfId="1" applyNumberFormat="1" applyFont="1" applyBorder="1" applyAlignment="1" applyProtection="1">
      <alignment horizontal="right" vertical="center"/>
      <protection locked="0"/>
    </xf>
    <xf numFmtId="4" fontId="19" fillId="0" borderId="154" xfId="1" applyNumberFormat="1" applyFont="1" applyBorder="1" applyAlignment="1" applyProtection="1">
      <alignment horizontal="right" vertical="center"/>
      <protection locked="0"/>
    </xf>
    <xf numFmtId="3" fontId="19" fillId="0" borderId="154" xfId="0" quotePrefix="1" applyNumberFormat="1" applyFont="1" applyBorder="1" applyAlignment="1" applyProtection="1">
      <alignment horizontal="right" vertical="center"/>
      <protection locked="0"/>
    </xf>
    <xf numFmtId="3" fontId="19" fillId="5" borderId="92" xfId="0" applyNumberFormat="1" applyFont="1" applyFill="1" applyBorder="1" applyAlignment="1" applyProtection="1">
      <alignment horizontal="center" vertical="center"/>
      <protection locked="0"/>
    </xf>
    <xf numFmtId="4" fontId="19" fillId="5" borderId="92" xfId="1" applyNumberFormat="1" applyFont="1" applyFill="1" applyBorder="1" applyAlignment="1" applyProtection="1">
      <alignment horizontal="right" vertical="center"/>
      <protection locked="0"/>
    </xf>
    <xf numFmtId="3" fontId="19" fillId="5" borderId="155" xfId="0" applyNumberFormat="1" applyFont="1" applyFill="1" applyBorder="1" applyAlignment="1" applyProtection="1">
      <alignment horizontal="center" vertical="center"/>
      <protection locked="0"/>
    </xf>
    <xf numFmtId="3" fontId="20" fillId="0" borderId="134" xfId="1" applyNumberFormat="1" applyFont="1" applyBorder="1" applyAlignment="1" applyProtection="1">
      <alignment horizontal="right" vertical="center"/>
      <protection locked="0"/>
    </xf>
    <xf numFmtId="4" fontId="20" fillId="0" borderId="134" xfId="1" applyNumberFormat="1" applyFont="1" applyBorder="1" applyAlignment="1" applyProtection="1">
      <alignment horizontal="right" vertical="center"/>
      <protection locked="0"/>
    </xf>
    <xf numFmtId="3" fontId="20" fillId="5" borderId="170" xfId="0" applyNumberFormat="1" applyFont="1" applyFill="1" applyBorder="1" applyAlignment="1" applyProtection="1">
      <alignment horizontal="center" vertical="center"/>
      <protection locked="0"/>
    </xf>
    <xf numFmtId="4" fontId="20" fillId="2" borderId="170" xfId="0" applyNumberFormat="1" applyFont="1" applyFill="1" applyBorder="1" applyAlignment="1" applyProtection="1">
      <alignment horizontal="right" vertical="center"/>
      <protection locked="0"/>
    </xf>
    <xf numFmtId="3" fontId="20" fillId="5" borderId="144" xfId="0" applyNumberFormat="1" applyFont="1" applyFill="1" applyBorder="1" applyAlignment="1" applyProtection="1">
      <alignment horizontal="center" vertical="center"/>
      <protection locked="0"/>
    </xf>
    <xf numFmtId="0" fontId="19" fillId="0" borderId="138" xfId="1" applyNumberFormat="1" applyFont="1" applyBorder="1" applyAlignment="1" applyProtection="1">
      <alignment horizontal="right" vertical="center"/>
      <protection locked="0"/>
    </xf>
    <xf numFmtId="37" fontId="19" fillId="0" borderId="170" xfId="1" applyFont="1" applyBorder="1" applyAlignment="1" applyProtection="1">
      <alignment horizontal="right" vertical="center"/>
      <protection locked="0"/>
    </xf>
    <xf numFmtId="3" fontId="19" fillId="5" borderId="92" xfId="1" applyNumberFormat="1" applyFont="1" applyFill="1" applyBorder="1" applyAlignment="1" applyProtection="1">
      <alignment horizontal="center" vertical="center"/>
      <protection locked="0"/>
    </xf>
    <xf numFmtId="3" fontId="19" fillId="5" borderId="155" xfId="1" applyNumberFormat="1" applyFont="1" applyFill="1" applyBorder="1" applyAlignment="1" applyProtection="1">
      <alignment horizontal="center" vertical="center"/>
      <protection locked="0"/>
    </xf>
    <xf numFmtId="3" fontId="20" fillId="5" borderId="170" xfId="1" applyNumberFormat="1" applyFont="1" applyFill="1" applyBorder="1" applyAlignment="1" applyProtection="1">
      <alignment horizontal="center" vertical="center"/>
      <protection locked="0"/>
    </xf>
    <xf numFmtId="4" fontId="20" fillId="5" borderId="170" xfId="1" applyNumberFormat="1" applyFont="1" applyFill="1" applyBorder="1" applyAlignment="1" applyProtection="1">
      <alignment horizontal="right" vertical="center"/>
      <protection locked="0"/>
    </xf>
    <xf numFmtId="3" fontId="20" fillId="5" borderId="144" xfId="1" applyNumberFormat="1" applyFont="1" applyFill="1" applyBorder="1" applyAlignment="1" applyProtection="1">
      <alignment horizontal="center" vertical="center"/>
      <protection locked="0"/>
    </xf>
    <xf numFmtId="4" fontId="20" fillId="5" borderId="170" xfId="0" applyNumberFormat="1" applyFont="1" applyFill="1" applyBorder="1" applyAlignment="1" applyProtection="1">
      <alignment horizontal="right" vertical="center"/>
      <protection locked="0"/>
    </xf>
    <xf numFmtId="3" fontId="19" fillId="0" borderId="154" xfId="1" quotePrefix="1" applyNumberFormat="1" applyFont="1" applyBorder="1" applyAlignment="1" applyProtection="1">
      <alignment horizontal="right" vertical="center"/>
      <protection locked="0"/>
    </xf>
    <xf numFmtId="3" fontId="20" fillId="0" borderId="160" xfId="1" applyNumberFormat="1" applyFont="1" applyBorder="1" applyAlignment="1" applyProtection="1">
      <alignment horizontal="right" vertical="center"/>
      <protection locked="0"/>
    </xf>
    <xf numFmtId="4" fontId="20" fillId="0" borderId="160" xfId="1" applyNumberFormat="1" applyFont="1" applyBorder="1" applyAlignment="1" applyProtection="1">
      <alignment horizontal="right" vertical="center"/>
      <protection locked="0"/>
    </xf>
    <xf numFmtId="0" fontId="19" fillId="0" borderId="152" xfId="1" applyNumberFormat="1" applyFont="1" applyBorder="1" applyAlignment="1" applyProtection="1">
      <alignment horizontal="right" vertical="center"/>
      <protection locked="0"/>
    </xf>
    <xf numFmtId="37" fontId="19" fillId="0" borderId="92" xfId="1" applyFont="1" applyBorder="1" applyAlignment="1" applyProtection="1">
      <alignment horizontal="right" vertical="center"/>
      <protection locked="0"/>
    </xf>
    <xf numFmtId="37" fontId="19" fillId="0" borderId="153" xfId="1" applyFont="1" applyBorder="1" applyAlignment="1" applyProtection="1">
      <alignment vertical="center"/>
      <protection locked="0"/>
    </xf>
    <xf numFmtId="3" fontId="26" fillId="10" borderId="158" xfId="1" applyNumberFormat="1" applyFont="1" applyFill="1" applyBorder="1" applyAlignment="1" applyProtection="1">
      <alignment horizontal="right" vertical="center"/>
      <protection locked="0"/>
    </xf>
    <xf numFmtId="4" fontId="26" fillId="10" borderId="158" xfId="1" applyNumberFormat="1" applyFont="1" applyFill="1" applyBorder="1" applyAlignment="1" applyProtection="1">
      <alignment horizontal="right" vertical="center"/>
      <protection locked="0"/>
    </xf>
    <xf numFmtId="3" fontId="20" fillId="10" borderId="166" xfId="1" applyNumberFormat="1" applyFont="1" applyFill="1" applyBorder="1" applyAlignment="1" applyProtection="1">
      <alignment horizontal="center" vertical="center"/>
      <protection locked="0"/>
    </xf>
    <xf numFmtId="3" fontId="20" fillId="10" borderId="159" xfId="1" applyNumberFormat="1" applyFont="1" applyFill="1" applyBorder="1" applyAlignment="1" applyProtection="1">
      <alignment horizontal="center" vertical="center"/>
      <protection locked="0"/>
    </xf>
    <xf numFmtId="4" fontId="20" fillId="5" borderId="0" xfId="1" applyNumberFormat="1" applyFont="1" applyFill="1" applyAlignment="1" applyProtection="1">
      <alignment horizontal="right" vertical="center"/>
      <protection locked="0"/>
    </xf>
    <xf numFmtId="168" fontId="19" fillId="0" borderId="133" xfId="1" applyNumberFormat="1" applyFont="1" applyBorder="1" applyAlignment="1">
      <alignment horizontal="right" vertical="center"/>
    </xf>
    <xf numFmtId="168" fontId="19" fillId="0" borderId="150" xfId="1" applyNumberFormat="1" applyFont="1" applyBorder="1" applyAlignment="1">
      <alignment horizontal="right" vertical="center"/>
    </xf>
    <xf numFmtId="168" fontId="19" fillId="0" borderId="150" xfId="8" applyNumberFormat="1" applyFont="1" applyBorder="1" applyAlignment="1">
      <alignment vertical="center"/>
    </xf>
    <xf numFmtId="168" fontId="20" fillId="0" borderId="160" xfId="8" applyNumberFormat="1" applyFont="1" applyBorder="1" applyAlignment="1">
      <alignment vertical="center"/>
    </xf>
    <xf numFmtId="168" fontId="19" fillId="0" borderId="134" xfId="1" applyNumberFormat="1" applyFont="1" applyBorder="1" applyAlignment="1">
      <alignment horizontal="right" vertical="center"/>
    </xf>
    <xf numFmtId="168" fontId="19" fillId="0" borderId="146" xfId="1" applyNumberFormat="1" applyFont="1" applyBorder="1" applyAlignment="1">
      <alignment horizontal="right" vertical="center"/>
    </xf>
    <xf numFmtId="168" fontId="19" fillId="0" borderId="154" xfId="1" applyNumberFormat="1" applyFont="1" applyBorder="1" applyAlignment="1">
      <alignment horizontal="right" vertical="center"/>
    </xf>
    <xf numFmtId="168" fontId="26" fillId="10" borderId="158" xfId="1" applyNumberFormat="1" applyFont="1" applyFill="1" applyBorder="1" applyAlignment="1">
      <alignment horizontal="right" vertical="center"/>
    </xf>
    <xf numFmtId="168" fontId="20" fillId="0" borderId="0" xfId="8" applyNumberFormat="1" applyFont="1"/>
    <xf numFmtId="168" fontId="19" fillId="0" borderId="0" xfId="8" applyNumberFormat="1" applyFont="1"/>
    <xf numFmtId="169" fontId="19" fillId="0" borderId="0" xfId="0" applyNumberFormat="1" applyFont="1" applyAlignment="1">
      <alignment horizontal="right"/>
    </xf>
    <xf numFmtId="169" fontId="19" fillId="14" borderId="0" xfId="0" applyNumberFormat="1" applyFont="1" applyFill="1" applyAlignment="1">
      <alignment horizontal="right"/>
    </xf>
    <xf numFmtId="166" fontId="19" fillId="0" borderId="0" xfId="0" applyNumberFormat="1" applyFont="1"/>
    <xf numFmtId="170" fontId="19" fillId="14" borderId="0" xfId="0" applyNumberFormat="1" applyFont="1" applyFill="1"/>
    <xf numFmtId="170" fontId="19" fillId="0" borderId="0" xfId="0" applyNumberFormat="1" applyFont="1"/>
    <xf numFmtId="37" fontId="20" fillId="0" borderId="149" xfId="1" applyFont="1" applyBorder="1" applyAlignment="1" applyProtection="1">
      <alignment horizontal="right" vertical="center"/>
      <protection locked="0"/>
    </xf>
    <xf numFmtId="3" fontId="20" fillId="0" borderId="150" xfId="1" applyNumberFormat="1" applyFont="1" applyBorder="1" applyAlignment="1" applyProtection="1">
      <alignment horizontal="right" vertical="center"/>
      <protection locked="0"/>
    </xf>
    <xf numFmtId="4" fontId="20" fillId="0" borderId="150" xfId="1" applyNumberFormat="1" applyFont="1" applyBorder="1" applyAlignment="1" applyProtection="1">
      <alignment horizontal="right" vertical="center"/>
      <protection locked="0"/>
    </xf>
    <xf numFmtId="169" fontId="19" fillId="16" borderId="0" xfId="0" applyNumberFormat="1" applyFont="1" applyFill="1" applyAlignment="1">
      <alignment horizontal="right"/>
    </xf>
    <xf numFmtId="170" fontId="19" fillId="16" borderId="0" xfId="0" applyNumberFormat="1" applyFont="1" applyFill="1"/>
    <xf numFmtId="168" fontId="19" fillId="0" borderId="160" xfId="1" applyNumberFormat="1" applyFont="1" applyBorder="1" applyAlignment="1">
      <alignment horizontal="right" vertical="center"/>
    </xf>
    <xf numFmtId="10" fontId="19" fillId="0" borderId="0" xfId="8" applyNumberFormat="1" applyFont="1"/>
    <xf numFmtId="3" fontId="26" fillId="17" borderId="158" xfId="1" applyNumberFormat="1" applyFont="1" applyFill="1" applyBorder="1" applyAlignment="1">
      <alignment horizontal="right" vertical="center"/>
    </xf>
    <xf numFmtId="3" fontId="26" fillId="18" borderId="158" xfId="1" applyNumberFormat="1" applyFont="1" applyFill="1" applyBorder="1" applyAlignment="1" applyProtection="1">
      <alignment horizontal="right" vertical="center"/>
      <protection locked="0"/>
    </xf>
    <xf numFmtId="4" fontId="31" fillId="5" borderId="170" xfId="1" applyNumberFormat="1" applyFont="1" applyFill="1" applyBorder="1" applyAlignment="1" applyProtection="1">
      <alignment horizontal="right" vertical="center"/>
      <protection locked="0"/>
    </xf>
    <xf numFmtId="4" fontId="31" fillId="5" borderId="92" xfId="1" applyNumberFormat="1" applyFont="1" applyFill="1" applyBorder="1" applyAlignment="1" applyProtection="1">
      <alignment horizontal="right" vertical="center"/>
      <protection locked="0"/>
    </xf>
    <xf numFmtId="4" fontId="0" fillId="0" borderId="0" xfId="0" applyNumberFormat="1" applyAlignment="1">
      <alignment horizontal="left"/>
    </xf>
    <xf numFmtId="0" fontId="2" fillId="0" borderId="0" xfId="7" applyAlignment="1">
      <alignment horizontal="center"/>
    </xf>
    <xf numFmtId="0" fontId="18" fillId="15" borderId="167" xfId="9" applyFont="1" applyFill="1" applyBorder="1" applyAlignment="1" applyProtection="1">
      <alignment horizontal="left" vertical="center" wrapText="1"/>
      <protection locked="0"/>
    </xf>
    <xf numFmtId="0" fontId="18" fillId="15" borderId="180" xfId="9" applyFont="1" applyFill="1" applyBorder="1" applyAlignment="1" applyProtection="1">
      <alignment horizontal="left" vertical="center" wrapText="1"/>
      <protection locked="0"/>
    </xf>
    <xf numFmtId="0" fontId="18" fillId="0" borderId="140" xfId="1" applyNumberFormat="1" applyFont="1" applyBorder="1" applyAlignment="1" applyProtection="1">
      <alignment vertical="center"/>
      <protection locked="0"/>
    </xf>
    <xf numFmtId="37" fontId="18" fillId="0" borderId="167" xfId="1" applyFont="1" applyBorder="1" applyAlignment="1" applyProtection="1">
      <alignment vertical="center"/>
      <protection locked="0"/>
    </xf>
    <xf numFmtId="37" fontId="13" fillId="0" borderId="137" xfId="1" applyFont="1" applyBorder="1" applyAlignment="1" applyProtection="1">
      <alignment vertical="center"/>
      <protection locked="0"/>
    </xf>
    <xf numFmtId="3" fontId="13" fillId="0" borderId="133" xfId="1" applyNumberFormat="1" applyFont="1" applyBorder="1" applyAlignment="1" applyProtection="1">
      <alignment horizontal="right" vertical="center"/>
      <protection locked="0"/>
    </xf>
    <xf numFmtId="4" fontId="13" fillId="0" borderId="133" xfId="1" applyNumberFormat="1" applyFont="1" applyBorder="1" applyAlignment="1" applyProtection="1">
      <alignment horizontal="right" vertical="center"/>
      <protection locked="0"/>
    </xf>
    <xf numFmtId="3" fontId="13" fillId="5" borderId="167" xfId="1" applyNumberFormat="1" applyFont="1" applyFill="1" applyBorder="1" applyAlignment="1" applyProtection="1">
      <alignment horizontal="center" vertical="center"/>
      <protection locked="0"/>
    </xf>
    <xf numFmtId="4" fontId="13" fillId="5" borderId="167" xfId="1" applyNumberFormat="1" applyFont="1" applyFill="1" applyBorder="1" applyAlignment="1" applyProtection="1">
      <alignment horizontal="right" vertical="center"/>
      <protection locked="0"/>
    </xf>
    <xf numFmtId="0" fontId="13" fillId="0" borderId="138" xfId="1" applyNumberFormat="1" applyFont="1" applyBorder="1" applyAlignment="1" applyProtection="1">
      <alignment horizontal="right" vertical="center"/>
      <protection locked="0"/>
    </xf>
    <xf numFmtId="37" fontId="13" fillId="0" borderId="170" xfId="1" applyFont="1" applyBorder="1" applyAlignment="1" applyProtection="1">
      <alignment horizontal="right" vertical="center"/>
      <protection locked="0"/>
    </xf>
    <xf numFmtId="37" fontId="13" fillId="0" borderId="139" xfId="1" applyFont="1" applyBorder="1" applyAlignment="1" applyProtection="1">
      <alignment vertical="center"/>
      <protection locked="0"/>
    </xf>
    <xf numFmtId="3" fontId="13" fillId="0" borderId="134" xfId="1" applyNumberFormat="1" applyFont="1" applyBorder="1" applyAlignment="1" applyProtection="1">
      <alignment horizontal="right" vertical="center"/>
      <protection locked="0"/>
    </xf>
    <xf numFmtId="4" fontId="13" fillId="0" borderId="134" xfId="1" applyNumberFormat="1" applyFont="1" applyBorder="1" applyAlignment="1" applyProtection="1">
      <alignment horizontal="right" vertical="center"/>
      <protection locked="0"/>
    </xf>
    <xf numFmtId="3" fontId="13" fillId="5" borderId="170" xfId="1" applyNumberFormat="1" applyFont="1" applyFill="1" applyBorder="1" applyAlignment="1" applyProtection="1">
      <alignment horizontal="center" vertical="center"/>
      <protection locked="0"/>
    </xf>
    <xf numFmtId="4" fontId="18" fillId="2" borderId="170" xfId="0" applyNumberFormat="1" applyFont="1" applyFill="1" applyBorder="1" applyAlignment="1" applyProtection="1">
      <alignment horizontal="right" vertical="center"/>
      <protection locked="0"/>
    </xf>
    <xf numFmtId="0" fontId="18" fillId="0" borderId="148" xfId="1" applyNumberFormat="1" applyFont="1" applyBorder="1" applyAlignment="1" applyProtection="1">
      <alignment vertical="center"/>
      <protection locked="0"/>
    </xf>
    <xf numFmtId="37" fontId="18" fillId="0" borderId="0" xfId="1" applyFont="1" applyAlignment="1" applyProtection="1">
      <alignment horizontal="left" vertical="center"/>
      <protection locked="0"/>
    </xf>
    <xf numFmtId="37" fontId="13" fillId="0" borderId="149" xfId="1" applyFont="1" applyBorder="1" applyAlignment="1" applyProtection="1">
      <alignment vertical="center"/>
      <protection locked="0"/>
    </xf>
    <xf numFmtId="3" fontId="13" fillId="0" borderId="150" xfId="8" applyNumberFormat="1" applyFont="1" applyBorder="1" applyAlignment="1" applyProtection="1">
      <alignment vertical="center"/>
      <protection locked="0"/>
    </xf>
    <xf numFmtId="4" fontId="13" fillId="0" borderId="150" xfId="8" applyNumberFormat="1" applyFont="1" applyBorder="1" applyAlignment="1" applyProtection="1">
      <alignment vertical="center"/>
      <protection locked="0"/>
    </xf>
    <xf numFmtId="3" fontId="13" fillId="0" borderId="150" xfId="1" applyNumberFormat="1" applyFont="1" applyBorder="1" applyAlignment="1" applyProtection="1">
      <alignment horizontal="right" vertical="center"/>
      <protection locked="0"/>
    </xf>
    <xf numFmtId="3" fontId="13" fillId="5" borderId="0" xfId="1" applyNumberFormat="1" applyFont="1" applyFill="1" applyAlignment="1" applyProtection="1">
      <alignment horizontal="center" vertical="center"/>
      <protection locked="0"/>
    </xf>
    <xf numFmtId="4" fontId="13" fillId="5" borderId="0" xfId="1" applyNumberFormat="1" applyFont="1" applyFill="1" applyAlignment="1" applyProtection="1">
      <alignment horizontal="right" vertical="center"/>
      <protection locked="0"/>
    </xf>
    <xf numFmtId="37" fontId="13" fillId="0" borderId="170" xfId="1" applyFont="1" applyBorder="1" applyAlignment="1" applyProtection="1">
      <alignment vertical="center"/>
      <protection locked="0"/>
    </xf>
    <xf numFmtId="3" fontId="13" fillId="0" borderId="134" xfId="1" quotePrefix="1" applyNumberFormat="1" applyFont="1" applyBorder="1" applyAlignment="1" applyProtection="1">
      <alignment horizontal="right" vertical="center"/>
      <protection locked="0"/>
    </xf>
    <xf numFmtId="4" fontId="33" fillId="5" borderId="170" xfId="1" applyNumberFormat="1" applyFont="1" applyFill="1" applyBorder="1" applyAlignment="1" applyProtection="1">
      <alignment horizontal="right" vertical="center"/>
      <protection locked="0"/>
    </xf>
    <xf numFmtId="0" fontId="18" fillId="0" borderId="156" xfId="1" applyNumberFormat="1" applyFont="1" applyBorder="1" applyAlignment="1" applyProtection="1">
      <alignment vertical="center"/>
      <protection locked="0"/>
    </xf>
    <xf numFmtId="37" fontId="18" fillId="0" borderId="169" xfId="1" applyFont="1" applyBorder="1" applyAlignment="1" applyProtection="1">
      <alignment vertical="center"/>
      <protection locked="0"/>
    </xf>
    <xf numFmtId="37" fontId="13" fillId="0" borderId="145" xfId="1" applyFont="1" applyBorder="1" applyAlignment="1" applyProtection="1">
      <alignment vertical="center"/>
      <protection locked="0"/>
    </xf>
    <xf numFmtId="3" fontId="13" fillId="0" borderId="146" xfId="1" applyNumberFormat="1" applyFont="1" applyBorder="1" applyAlignment="1" applyProtection="1">
      <alignment horizontal="right" vertical="center"/>
      <protection locked="0"/>
    </xf>
    <xf numFmtId="4" fontId="13" fillId="0" borderId="146" xfId="1" applyNumberFormat="1" applyFont="1" applyBorder="1" applyAlignment="1" applyProtection="1">
      <alignment horizontal="right" vertical="center"/>
      <protection locked="0"/>
    </xf>
    <xf numFmtId="3" fontId="13" fillId="5" borderId="169" xfId="1" applyNumberFormat="1" applyFont="1" applyFill="1" applyBorder="1" applyAlignment="1" applyProtection="1">
      <alignment horizontal="center" vertical="center"/>
      <protection locked="0"/>
    </xf>
    <xf numFmtId="4" fontId="13" fillId="5" borderId="169" xfId="1" applyNumberFormat="1" applyFont="1" applyFill="1" applyBorder="1" applyAlignment="1" applyProtection="1">
      <alignment horizontal="right" vertical="center"/>
      <protection locked="0"/>
    </xf>
    <xf numFmtId="0" fontId="13" fillId="0" borderId="148" xfId="1" applyNumberFormat="1" applyFont="1" applyBorder="1" applyAlignment="1" applyProtection="1">
      <alignment horizontal="right" vertical="center"/>
      <protection locked="0"/>
    </xf>
    <xf numFmtId="37" fontId="13" fillId="0" borderId="0" xfId="1" applyFont="1" applyAlignment="1" applyProtection="1">
      <alignment horizontal="right" vertical="center"/>
      <protection locked="0"/>
    </xf>
    <xf numFmtId="4" fontId="13" fillId="0" borderId="150" xfId="1" applyNumberFormat="1" applyFont="1" applyBorder="1" applyAlignment="1" applyProtection="1">
      <alignment horizontal="right" vertical="center"/>
      <protection locked="0"/>
    </xf>
    <xf numFmtId="3" fontId="13" fillId="0" borderId="150" xfId="1" quotePrefix="1" applyNumberFormat="1" applyFont="1" applyBorder="1" applyAlignment="1" applyProtection="1">
      <alignment horizontal="right" vertical="center"/>
      <protection locked="0"/>
    </xf>
    <xf numFmtId="3" fontId="13" fillId="0" borderId="154" xfId="1" applyNumberFormat="1" applyFont="1" applyBorder="1" applyAlignment="1" applyProtection="1">
      <alignment horizontal="right" vertical="center"/>
      <protection locked="0"/>
    </xf>
    <xf numFmtId="4" fontId="13" fillId="0" borderId="154" xfId="1" applyNumberFormat="1" applyFont="1" applyBorder="1" applyAlignment="1" applyProtection="1">
      <alignment horizontal="right" vertical="center"/>
      <protection locked="0"/>
    </xf>
    <xf numFmtId="3" fontId="13" fillId="0" borderId="154" xfId="0" quotePrefix="1" applyNumberFormat="1" applyFont="1" applyBorder="1" applyAlignment="1" applyProtection="1">
      <alignment horizontal="right" vertical="center"/>
      <protection locked="0"/>
    </xf>
    <xf numFmtId="3" fontId="13" fillId="5" borderId="92" xfId="0" applyNumberFormat="1" applyFont="1" applyFill="1" applyBorder="1" applyAlignment="1" applyProtection="1">
      <alignment horizontal="center" vertical="center"/>
      <protection locked="0"/>
    </xf>
    <xf numFmtId="4" fontId="13" fillId="5" borderId="92" xfId="1" applyNumberFormat="1" applyFont="1" applyFill="1" applyBorder="1" applyAlignment="1" applyProtection="1">
      <alignment horizontal="right" vertical="center"/>
      <protection locked="0"/>
    </xf>
    <xf numFmtId="0" fontId="13" fillId="0" borderId="138" xfId="1" applyNumberFormat="1" applyFont="1" applyBorder="1" applyAlignment="1" applyProtection="1">
      <alignment vertical="center"/>
      <protection locked="0"/>
    </xf>
    <xf numFmtId="37" fontId="18" fillId="0" borderId="139" xfId="1" applyFont="1" applyBorder="1" applyAlignment="1" applyProtection="1">
      <alignment horizontal="right" vertical="center"/>
      <protection locked="0"/>
    </xf>
    <xf numFmtId="3" fontId="18" fillId="0" borderId="134" xfId="1" applyNumberFormat="1" applyFont="1" applyBorder="1" applyAlignment="1" applyProtection="1">
      <alignment horizontal="right" vertical="center"/>
      <protection locked="0"/>
    </xf>
    <xf numFmtId="4" fontId="18" fillId="0" borderId="134" xfId="1" applyNumberFormat="1" applyFont="1" applyBorder="1" applyAlignment="1" applyProtection="1">
      <alignment horizontal="right" vertical="center"/>
      <protection locked="0"/>
    </xf>
    <xf numFmtId="3" fontId="18" fillId="5" borderId="170" xfId="0" applyNumberFormat="1" applyFont="1" applyFill="1" applyBorder="1" applyAlignment="1" applyProtection="1">
      <alignment horizontal="center" vertical="center"/>
      <protection locked="0"/>
    </xf>
    <xf numFmtId="3" fontId="13" fillId="5" borderId="92" xfId="1" applyNumberFormat="1" applyFont="1" applyFill="1" applyBorder="1" applyAlignment="1" applyProtection="1">
      <alignment horizontal="center" vertical="center"/>
      <protection locked="0"/>
    </xf>
    <xf numFmtId="3" fontId="18" fillId="5" borderId="170" xfId="1" applyNumberFormat="1" applyFont="1" applyFill="1" applyBorder="1" applyAlignment="1" applyProtection="1">
      <alignment horizontal="center" vertical="center"/>
      <protection locked="0"/>
    </xf>
    <xf numFmtId="4" fontId="18" fillId="5" borderId="170" xfId="1" applyNumberFormat="1" applyFont="1" applyFill="1" applyBorder="1" applyAlignment="1" applyProtection="1">
      <alignment horizontal="right" vertical="center"/>
      <protection locked="0"/>
    </xf>
    <xf numFmtId="37" fontId="18" fillId="0" borderId="149" xfId="1" applyFont="1" applyBorder="1" applyAlignment="1" applyProtection="1">
      <alignment horizontal="right" vertical="center"/>
      <protection locked="0"/>
    </xf>
    <xf numFmtId="3" fontId="18" fillId="0" borderId="150" xfId="1" applyNumberFormat="1" applyFont="1" applyBorder="1" applyAlignment="1" applyProtection="1">
      <alignment horizontal="right" vertical="center"/>
      <protection locked="0"/>
    </xf>
    <xf numFmtId="4" fontId="18" fillId="0" borderId="150" xfId="1" applyNumberFormat="1" applyFont="1" applyBorder="1" applyAlignment="1" applyProtection="1">
      <alignment horizontal="right" vertical="center"/>
      <protection locked="0"/>
    </xf>
    <xf numFmtId="4" fontId="18" fillId="5" borderId="0" xfId="1" applyNumberFormat="1" applyFont="1" applyFill="1" applyAlignment="1" applyProtection="1">
      <alignment horizontal="right" vertical="center"/>
      <protection locked="0"/>
    </xf>
    <xf numFmtId="4" fontId="18" fillId="5" borderId="170" xfId="0" applyNumberFormat="1" applyFont="1" applyFill="1" applyBorder="1" applyAlignment="1" applyProtection="1">
      <alignment horizontal="right" vertical="center"/>
      <protection locked="0"/>
    </xf>
    <xf numFmtId="4" fontId="13" fillId="2" borderId="0" xfId="0" applyNumberFormat="1" applyFont="1" applyFill="1" applyAlignment="1" applyProtection="1">
      <alignment horizontal="right" vertical="center"/>
      <protection locked="0"/>
    </xf>
    <xf numFmtId="3" fontId="13" fillId="0" borderId="154" xfId="1" quotePrefix="1" applyNumberFormat="1" applyFont="1" applyBorder="1" applyAlignment="1" applyProtection="1">
      <alignment horizontal="right" vertical="center"/>
      <protection locked="0"/>
    </xf>
    <xf numFmtId="3" fontId="13" fillId="5" borderId="181" xfId="1" applyNumberFormat="1" applyFont="1" applyFill="1" applyBorder="1" applyAlignment="1" applyProtection="1">
      <alignment horizontal="center" vertical="center"/>
      <protection locked="0"/>
    </xf>
    <xf numFmtId="3" fontId="18" fillId="0" borderId="160" xfId="1" applyNumberFormat="1" applyFont="1" applyBorder="1" applyAlignment="1" applyProtection="1">
      <alignment horizontal="right" vertical="center"/>
      <protection locked="0"/>
    </xf>
    <xf numFmtId="4" fontId="18" fillId="0" borderId="160" xfId="1" applyNumberFormat="1" applyFont="1" applyBorder="1" applyAlignment="1" applyProtection="1">
      <alignment horizontal="right" vertical="center"/>
      <protection locked="0"/>
    </xf>
    <xf numFmtId="0" fontId="13" fillId="0" borderId="152" xfId="1" applyNumberFormat="1" applyFont="1" applyBorder="1" applyAlignment="1" applyProtection="1">
      <alignment horizontal="right" vertical="center"/>
      <protection locked="0"/>
    </xf>
    <xf numFmtId="37" fontId="13" fillId="0" borderId="92" xfId="1" applyFont="1" applyBorder="1" applyAlignment="1" applyProtection="1">
      <alignment horizontal="right" vertical="center"/>
      <protection locked="0"/>
    </xf>
    <xf numFmtId="37" fontId="13" fillId="0" borderId="153" xfId="1" applyFont="1" applyBorder="1" applyAlignment="1" applyProtection="1">
      <alignment vertical="center"/>
      <protection locked="0"/>
    </xf>
    <xf numFmtId="4" fontId="33" fillId="5" borderId="92" xfId="1" applyNumberFormat="1" applyFont="1" applyFill="1" applyBorder="1" applyAlignment="1" applyProtection="1">
      <alignment horizontal="right" vertical="center"/>
      <protection locked="0"/>
    </xf>
    <xf numFmtId="3" fontId="18" fillId="10" borderId="158" xfId="1" applyNumberFormat="1" applyFont="1" applyFill="1" applyBorder="1" applyAlignment="1" applyProtection="1">
      <alignment horizontal="right" vertical="center"/>
      <protection locked="0"/>
    </xf>
    <xf numFmtId="4" fontId="18" fillId="10" borderId="158" xfId="1" applyNumberFormat="1" applyFont="1" applyFill="1" applyBorder="1" applyAlignment="1" applyProtection="1">
      <alignment horizontal="right" vertical="center"/>
      <protection locked="0"/>
    </xf>
    <xf numFmtId="3" fontId="18" fillId="10" borderId="166" xfId="1" applyNumberFormat="1" applyFont="1" applyFill="1" applyBorder="1" applyAlignment="1" applyProtection="1">
      <alignment horizontal="center" vertical="center"/>
      <protection locked="0"/>
    </xf>
    <xf numFmtId="4" fontId="18" fillId="12" borderId="173" xfId="8" applyNumberFormat="1" applyFont="1" applyFill="1" applyBorder="1" applyAlignment="1" applyProtection="1">
      <alignment vertical="center"/>
      <protection locked="0"/>
    </xf>
    <xf numFmtId="0" fontId="13" fillId="0" borderId="0" xfId="8" applyFont="1"/>
    <xf numFmtId="3" fontId="13" fillId="0" borderId="0" xfId="8" applyNumberFormat="1" applyFont="1"/>
    <xf numFmtId="4" fontId="13" fillId="0" borderId="0" xfId="8" applyNumberFormat="1" applyFont="1"/>
    <xf numFmtId="3" fontId="13" fillId="0" borderId="0" xfId="8" applyNumberFormat="1" applyFont="1" applyAlignment="1">
      <alignment horizontal="center"/>
    </xf>
    <xf numFmtId="4" fontId="32" fillId="0" borderId="0" xfId="0" applyNumberFormat="1" applyFont="1"/>
    <xf numFmtId="10" fontId="13" fillId="0" borderId="0" xfId="0" applyNumberFormat="1" applyFont="1"/>
    <xf numFmtId="0" fontId="13" fillId="0" borderId="0" xfId="0" applyFont="1"/>
    <xf numFmtId="168" fontId="13" fillId="0" borderId="0" xfId="8" applyNumberFormat="1" applyFont="1"/>
    <xf numFmtId="169" fontId="13" fillId="0" borderId="0" xfId="0" applyNumberFormat="1" applyFont="1" applyAlignment="1">
      <alignment horizontal="right"/>
    </xf>
    <xf numFmtId="4" fontId="13" fillId="0" borderId="0" xfId="8" quotePrefix="1" applyNumberFormat="1" applyFont="1"/>
    <xf numFmtId="2" fontId="34" fillId="0" borderId="0" xfId="8" applyNumberFormat="1" applyFont="1"/>
    <xf numFmtId="3" fontId="13" fillId="0" borderId="0" xfId="8" applyNumberFormat="1" applyFont="1" applyAlignment="1">
      <alignment horizontal="left"/>
    </xf>
    <xf numFmtId="10" fontId="34" fillId="0" borderId="0" xfId="8" applyNumberFormat="1" applyFont="1"/>
    <xf numFmtId="0" fontId="19" fillId="0" borderId="0" xfId="0" quotePrefix="1" applyFont="1"/>
    <xf numFmtId="4" fontId="33" fillId="5" borderId="0" xfId="1" applyNumberFormat="1" applyFont="1" applyFill="1" applyAlignment="1" applyProtection="1">
      <alignment horizontal="right" vertical="center"/>
      <protection locked="0"/>
    </xf>
    <xf numFmtId="3" fontId="33" fillId="5" borderId="0" xfId="1" applyNumberFormat="1" applyFont="1" applyFill="1" applyAlignment="1" applyProtection="1">
      <alignment horizontal="center" vertical="center"/>
      <protection locked="0"/>
    </xf>
    <xf numFmtId="37" fontId="33" fillId="0" borderId="149" xfId="1" applyFont="1" applyBorder="1" applyAlignment="1" applyProtection="1">
      <alignment horizontal="right" vertical="center"/>
      <protection locked="0"/>
    </xf>
    <xf numFmtId="3" fontId="33" fillId="0" borderId="150" xfId="1" applyNumberFormat="1" applyFont="1" applyBorder="1" applyAlignment="1" applyProtection="1">
      <alignment horizontal="right" vertical="center"/>
      <protection locked="0"/>
    </xf>
    <xf numFmtId="168" fontId="13" fillId="0" borderId="133" xfId="1" applyNumberFormat="1" applyFont="1" applyBorder="1" applyAlignment="1" applyProtection="1">
      <alignment horizontal="right" vertical="center"/>
      <protection locked="0"/>
    </xf>
    <xf numFmtId="168" fontId="13" fillId="0" borderId="134" xfId="1" applyNumberFormat="1" applyFont="1" applyBorder="1" applyAlignment="1" applyProtection="1">
      <alignment horizontal="right" vertical="center"/>
      <protection locked="0"/>
    </xf>
    <xf numFmtId="168" fontId="13" fillId="0" borderId="150" xfId="8" applyNumberFormat="1" applyFont="1" applyBorder="1" applyAlignment="1" applyProtection="1">
      <alignment vertical="center"/>
      <protection locked="0"/>
    </xf>
    <xf numFmtId="168" fontId="13" fillId="0" borderId="146" xfId="1" applyNumberFormat="1" applyFont="1" applyBorder="1" applyAlignment="1" applyProtection="1">
      <alignment horizontal="right" vertical="center"/>
      <protection locked="0"/>
    </xf>
    <xf numFmtId="168" fontId="13" fillId="0" borderId="150" xfId="1" applyNumberFormat="1" applyFont="1" applyBorder="1" applyAlignment="1" applyProtection="1">
      <alignment horizontal="right" vertical="center"/>
      <protection locked="0"/>
    </xf>
    <xf numFmtId="168" fontId="13" fillId="0" borderId="154" xfId="1" applyNumberFormat="1" applyFont="1" applyBorder="1" applyAlignment="1" applyProtection="1">
      <alignment horizontal="right" vertical="center"/>
      <protection locked="0"/>
    </xf>
    <xf numFmtId="168" fontId="18" fillId="0" borderId="134" xfId="1" applyNumberFormat="1" applyFont="1" applyBorder="1" applyAlignment="1" applyProtection="1">
      <alignment horizontal="right" vertical="center"/>
      <protection locked="0"/>
    </xf>
    <xf numFmtId="168" fontId="33" fillId="0" borderId="150" xfId="1" applyNumberFormat="1" applyFont="1" applyBorder="1" applyAlignment="1" applyProtection="1">
      <alignment horizontal="right" vertical="center"/>
      <protection locked="0"/>
    </xf>
    <xf numFmtId="168" fontId="18" fillId="0" borderId="150" xfId="1" applyNumberFormat="1" applyFont="1" applyBorder="1" applyAlignment="1" applyProtection="1">
      <alignment horizontal="right" vertical="center"/>
      <protection locked="0"/>
    </xf>
    <xf numFmtId="168" fontId="18" fillId="0" borderId="160" xfId="1" applyNumberFormat="1" applyFont="1" applyBorder="1" applyAlignment="1" applyProtection="1">
      <alignment horizontal="right" vertical="center"/>
      <protection locked="0"/>
    </xf>
    <xf numFmtId="168" fontId="18" fillId="10" borderId="158" xfId="1" applyNumberFormat="1" applyFont="1" applyFill="1" applyBorder="1" applyAlignment="1" applyProtection="1">
      <alignment horizontal="right" vertical="center"/>
      <protection locked="0"/>
    </xf>
    <xf numFmtId="168" fontId="13" fillId="0" borderId="0" xfId="8" applyNumberFormat="1" applyFont="1" applyAlignment="1">
      <alignment horizontal="right"/>
    </xf>
    <xf numFmtId="168" fontId="34" fillId="0" borderId="0" xfId="8" applyNumberFormat="1" applyFont="1"/>
    <xf numFmtId="172" fontId="19" fillId="0" borderId="0" xfId="0" applyNumberFormat="1" applyFont="1" applyAlignment="1">
      <alignment horizontal="center"/>
    </xf>
    <xf numFmtId="172" fontId="19" fillId="0" borderId="0" xfId="0" applyNumberFormat="1" applyFont="1"/>
    <xf numFmtId="37" fontId="35" fillId="0" borderId="140" xfId="1" applyFont="1" applyBorder="1" applyAlignment="1">
      <alignment vertical="center"/>
    </xf>
    <xf numFmtId="37" fontId="36" fillId="0" borderId="137" xfId="1" applyFont="1" applyBorder="1" applyAlignment="1">
      <alignment vertical="center"/>
    </xf>
    <xf numFmtId="3" fontId="36" fillId="0" borderId="133" xfId="1" applyNumberFormat="1" applyFont="1" applyBorder="1" applyAlignment="1">
      <alignment horizontal="right" vertical="center"/>
    </xf>
    <xf numFmtId="37" fontId="36" fillId="0" borderId="138" xfId="1" applyFont="1" applyBorder="1" applyAlignment="1">
      <alignment vertical="center"/>
    </xf>
    <xf numFmtId="37" fontId="36" fillId="0" borderId="139" xfId="1" applyFont="1" applyBorder="1" applyAlignment="1">
      <alignment vertical="center"/>
    </xf>
    <xf numFmtId="37" fontId="35" fillId="0" borderId="148" xfId="1" applyFont="1" applyBorder="1" applyAlignment="1">
      <alignment vertical="center"/>
    </xf>
    <xf numFmtId="37" fontId="36" fillId="0" borderId="149" xfId="1" applyFont="1" applyBorder="1" applyAlignment="1">
      <alignment vertical="center"/>
    </xf>
    <xf numFmtId="4" fontId="36" fillId="0" borderId="150" xfId="8" applyNumberFormat="1" applyFont="1" applyBorder="1" applyAlignment="1">
      <alignment vertical="center"/>
    </xf>
    <xf numFmtId="37" fontId="35" fillId="0" borderId="156" xfId="1" applyFont="1" applyBorder="1" applyAlignment="1">
      <alignment vertical="center"/>
    </xf>
    <xf numFmtId="37" fontId="36" fillId="0" borderId="145" xfId="1" applyFont="1" applyBorder="1" applyAlignment="1">
      <alignment vertical="center"/>
    </xf>
    <xf numFmtId="3" fontId="36" fillId="0" borderId="146" xfId="1" applyNumberFormat="1" applyFont="1" applyBorder="1" applyAlignment="1">
      <alignment horizontal="right" vertical="center"/>
    </xf>
    <xf numFmtId="37" fontId="36" fillId="0" borderId="148" xfId="1" applyFont="1" applyBorder="1" applyAlignment="1">
      <alignment vertical="center"/>
    </xf>
    <xf numFmtId="4" fontId="36" fillId="0" borderId="150" xfId="1" applyNumberFormat="1" applyFont="1" applyBorder="1" applyAlignment="1">
      <alignment horizontal="right" vertical="center"/>
    </xf>
    <xf numFmtId="4" fontId="36" fillId="0" borderId="154" xfId="1" applyNumberFormat="1" applyFont="1" applyBorder="1" applyAlignment="1">
      <alignment horizontal="right" vertical="center"/>
    </xf>
    <xf numFmtId="37" fontId="35" fillId="0" borderId="139" xfId="1" applyFont="1" applyBorder="1" applyAlignment="1">
      <alignment horizontal="right" vertical="center"/>
    </xf>
    <xf numFmtId="4" fontId="35" fillId="0" borderId="134" xfId="1" applyNumberFormat="1" applyFont="1" applyBorder="1" applyAlignment="1">
      <alignment horizontal="right" vertical="center"/>
    </xf>
    <xf numFmtId="4" fontId="35" fillId="0" borderId="160" xfId="1" applyNumberFormat="1" applyFont="1" applyBorder="1" applyAlignment="1">
      <alignment horizontal="right" vertical="center"/>
    </xf>
    <xf numFmtId="3" fontId="36" fillId="0" borderId="150" xfId="1" applyNumberFormat="1" applyFont="1" applyBorder="1" applyAlignment="1">
      <alignment horizontal="right" vertical="center"/>
    </xf>
    <xf numFmtId="37" fontId="36" fillId="0" borderId="152" xfId="1" applyFont="1" applyBorder="1" applyAlignment="1">
      <alignment vertical="center"/>
    </xf>
    <xf numFmtId="37" fontId="36" fillId="0" borderId="153" xfId="1" applyFont="1" applyBorder="1" applyAlignment="1">
      <alignment vertical="center"/>
    </xf>
    <xf numFmtId="0" fontId="19" fillId="0" borderId="0" xfId="8" applyFont="1" applyAlignment="1">
      <alignment horizontal="center"/>
    </xf>
    <xf numFmtId="172" fontId="28" fillId="0" borderId="0" xfId="0" applyNumberFormat="1" applyFont="1"/>
    <xf numFmtId="174" fontId="19" fillId="0" borderId="0" xfId="0" applyNumberFormat="1" applyFont="1"/>
    <xf numFmtId="171" fontId="34" fillId="0" borderId="0" xfId="8" applyNumberFormat="1" applyFont="1"/>
    <xf numFmtId="0" fontId="13" fillId="0" borderId="0" xfId="9" applyFont="1" applyAlignment="1">
      <alignment horizontal="center"/>
    </xf>
    <xf numFmtId="3" fontId="13" fillId="5" borderId="164" xfId="1" applyNumberFormat="1" applyFont="1" applyFill="1" applyBorder="1" applyAlignment="1" applyProtection="1">
      <alignment horizontal="center" vertical="center"/>
      <protection locked="0"/>
    </xf>
    <xf numFmtId="37" fontId="13" fillId="0" borderId="0" xfId="1" applyFont="1" applyAlignment="1">
      <alignment horizontal="right"/>
    </xf>
    <xf numFmtId="3" fontId="13" fillId="5" borderId="144" xfId="1" applyNumberFormat="1" applyFont="1" applyFill="1" applyBorder="1" applyAlignment="1" applyProtection="1">
      <alignment horizontal="center" vertical="center"/>
      <protection locked="0"/>
    </xf>
    <xf numFmtId="168" fontId="13" fillId="0" borderId="0" xfId="1" applyNumberFormat="1" applyFont="1" applyAlignment="1">
      <alignment horizontal="right"/>
    </xf>
    <xf numFmtId="3" fontId="13" fillId="5" borderId="151" xfId="1" applyNumberFormat="1" applyFont="1" applyFill="1" applyBorder="1" applyAlignment="1" applyProtection="1">
      <alignment horizontal="center" vertical="center"/>
      <protection locked="0"/>
    </xf>
    <xf numFmtId="3" fontId="13" fillId="5" borderId="147" xfId="1" applyNumberFormat="1" applyFont="1" applyFill="1" applyBorder="1" applyAlignment="1" applyProtection="1">
      <alignment horizontal="center" vertical="center"/>
      <protection locked="0"/>
    </xf>
    <xf numFmtId="3" fontId="13" fillId="5" borderId="155" xfId="0" applyNumberFormat="1" applyFont="1" applyFill="1" applyBorder="1" applyAlignment="1" applyProtection="1">
      <alignment horizontal="center" vertical="center"/>
      <protection locked="0"/>
    </xf>
    <xf numFmtId="3" fontId="18" fillId="5" borderId="144" xfId="0" applyNumberFormat="1" applyFont="1" applyFill="1" applyBorder="1" applyAlignment="1" applyProtection="1">
      <alignment horizontal="center" vertical="center"/>
      <protection locked="0"/>
    </xf>
    <xf numFmtId="3" fontId="13" fillId="5" borderId="155" xfId="1" applyNumberFormat="1" applyFont="1" applyFill="1" applyBorder="1" applyAlignment="1" applyProtection="1">
      <alignment horizontal="center" vertical="center"/>
      <protection locked="0"/>
    </xf>
    <xf numFmtId="3" fontId="18" fillId="5" borderId="144" xfId="1" applyNumberFormat="1" applyFont="1" applyFill="1" applyBorder="1" applyAlignment="1" applyProtection="1">
      <alignment horizontal="center" vertical="center"/>
      <protection locked="0"/>
    </xf>
    <xf numFmtId="166" fontId="13" fillId="0" borderId="0" xfId="0" applyNumberFormat="1" applyFont="1"/>
    <xf numFmtId="170" fontId="13" fillId="0" borderId="0" xfId="0" applyNumberFormat="1" applyFont="1"/>
    <xf numFmtId="3" fontId="18" fillId="10" borderId="159" xfId="1" applyNumberFormat="1" applyFont="1" applyFill="1" applyBorder="1" applyAlignment="1" applyProtection="1">
      <alignment horizontal="center" vertical="center"/>
      <protection locked="0"/>
    </xf>
    <xf numFmtId="168" fontId="18" fillId="0" borderId="0" xfId="8" applyNumberFormat="1" applyFont="1"/>
    <xf numFmtId="3" fontId="18" fillId="0" borderId="0" xfId="8" applyNumberFormat="1" applyFont="1"/>
    <xf numFmtId="3" fontId="18" fillId="0" borderId="0" xfId="8" applyNumberFormat="1" applyFont="1" applyAlignment="1">
      <alignment horizontal="center"/>
    </xf>
    <xf numFmtId="4" fontId="38" fillId="0" borderId="0" xfId="0" applyNumberFormat="1" applyFont="1"/>
    <xf numFmtId="0" fontId="39" fillId="0" borderId="0" xfId="0" applyFont="1"/>
    <xf numFmtId="3" fontId="40" fillId="0" borderId="133" xfId="1" applyNumberFormat="1" applyFont="1" applyBorder="1" applyAlignment="1" applyProtection="1">
      <alignment horizontal="right" vertical="center"/>
      <protection locked="0"/>
    </xf>
    <xf numFmtId="3" fontId="40" fillId="0" borderId="133" xfId="1" applyNumberFormat="1" applyFont="1" applyBorder="1" applyAlignment="1">
      <alignment horizontal="right" vertical="center"/>
    </xf>
    <xf numFmtId="0" fontId="40" fillId="0" borderId="0" xfId="0" applyFont="1"/>
    <xf numFmtId="168" fontId="40" fillId="0" borderId="133" xfId="1" applyNumberFormat="1" applyFont="1" applyBorder="1" applyAlignment="1">
      <alignment horizontal="right" vertical="center"/>
    </xf>
    <xf numFmtId="3" fontId="40" fillId="0" borderId="134" xfId="1" applyNumberFormat="1" applyFont="1" applyBorder="1" applyAlignment="1" applyProtection="1">
      <alignment horizontal="right" vertical="center"/>
      <protection locked="0"/>
    </xf>
    <xf numFmtId="3" fontId="40" fillId="0" borderId="134" xfId="1" applyNumberFormat="1" applyFont="1" applyBorder="1" applyAlignment="1">
      <alignment horizontal="right" vertical="center"/>
    </xf>
    <xf numFmtId="168" fontId="40" fillId="0" borderId="134" xfId="1" applyNumberFormat="1" applyFont="1" applyBorder="1" applyAlignment="1">
      <alignment horizontal="right" vertical="center"/>
    </xf>
    <xf numFmtId="3" fontId="40" fillId="0" borderId="150" xfId="8" applyNumberFormat="1" applyFont="1" applyBorder="1" applyAlignment="1" applyProtection="1">
      <alignment vertical="center"/>
      <protection locked="0"/>
    </xf>
    <xf numFmtId="3" fontId="40" fillId="0" borderId="150" xfId="8" applyNumberFormat="1" applyFont="1" applyBorder="1" applyAlignment="1">
      <alignment vertical="center"/>
    </xf>
    <xf numFmtId="168" fontId="40" fillId="0" borderId="150" xfId="8" applyNumberFormat="1" applyFont="1" applyBorder="1" applyAlignment="1">
      <alignment vertical="center"/>
    </xf>
    <xf numFmtId="3" fontId="40" fillId="0" borderId="146" xfId="1" applyNumberFormat="1" applyFont="1" applyBorder="1" applyAlignment="1" applyProtection="1">
      <alignment horizontal="right" vertical="center"/>
      <protection locked="0"/>
    </xf>
    <xf numFmtId="3" fontId="40" fillId="0" borderId="146" xfId="1" applyNumberFormat="1" applyFont="1" applyBorder="1" applyAlignment="1">
      <alignment horizontal="right" vertical="center"/>
    </xf>
    <xf numFmtId="168" fontId="40" fillId="0" borderId="146" xfId="1" applyNumberFormat="1" applyFont="1" applyBorder="1" applyAlignment="1">
      <alignment horizontal="right" vertical="center"/>
    </xf>
    <xf numFmtId="3" fontId="40" fillId="0" borderId="150" xfId="1" applyNumberFormat="1" applyFont="1" applyBorder="1" applyAlignment="1" applyProtection="1">
      <alignment horizontal="right" vertical="center"/>
      <protection locked="0"/>
    </xf>
    <xf numFmtId="3" fontId="40" fillId="0" borderId="150" xfId="1" applyNumberFormat="1" applyFont="1" applyBorder="1" applyAlignment="1">
      <alignment horizontal="right" vertical="center"/>
    </xf>
    <xf numFmtId="168" fontId="40" fillId="0" borderId="150" xfId="1" applyNumberFormat="1" applyFont="1" applyBorder="1" applyAlignment="1">
      <alignment horizontal="right" vertical="center"/>
    </xf>
    <xf numFmtId="3" fontId="40" fillId="0" borderId="154" xfId="1" applyNumberFormat="1" applyFont="1" applyBorder="1" applyAlignment="1" applyProtection="1">
      <alignment horizontal="right" vertical="center"/>
      <protection locked="0"/>
    </xf>
    <xf numFmtId="3" fontId="40" fillId="0" borderId="154" xfId="1" applyNumberFormat="1" applyFont="1" applyBorder="1" applyAlignment="1">
      <alignment horizontal="right" vertical="center"/>
    </xf>
    <xf numFmtId="168" fontId="40" fillId="0" borderId="154" xfId="1" applyNumberFormat="1" applyFont="1" applyBorder="1" applyAlignment="1">
      <alignment horizontal="right" vertical="center"/>
    </xf>
    <xf numFmtId="3" fontId="33" fillId="0" borderId="134" xfId="1" applyNumberFormat="1" applyFont="1" applyBorder="1" applyAlignment="1" applyProtection="1">
      <alignment horizontal="right" vertical="center"/>
      <protection locked="0"/>
    </xf>
    <xf numFmtId="3" fontId="33" fillId="0" borderId="134" xfId="1" applyNumberFormat="1" applyFont="1" applyBorder="1" applyAlignment="1">
      <alignment horizontal="right" vertical="center"/>
    </xf>
    <xf numFmtId="3" fontId="40" fillId="0" borderId="150" xfId="1" quotePrefix="1" applyNumberFormat="1" applyFont="1" applyBorder="1" applyAlignment="1">
      <alignment horizontal="right" vertical="center"/>
    </xf>
    <xf numFmtId="3" fontId="33" fillId="0" borderId="160" xfId="1" applyNumberFormat="1" applyFont="1" applyBorder="1" applyAlignment="1" applyProtection="1">
      <alignment horizontal="right" vertical="center"/>
      <protection locked="0"/>
    </xf>
    <xf numFmtId="3" fontId="33" fillId="0" borderId="160" xfId="1" applyNumberFormat="1" applyFont="1" applyBorder="1" applyAlignment="1">
      <alignment horizontal="right" vertical="center"/>
    </xf>
    <xf numFmtId="168" fontId="40" fillId="0" borderId="160" xfId="1" applyNumberFormat="1" applyFont="1" applyBorder="1" applyAlignment="1">
      <alignment horizontal="right" vertical="center"/>
    </xf>
    <xf numFmtId="3" fontId="33" fillId="18" borderId="158" xfId="1" applyNumberFormat="1" applyFont="1" applyFill="1" applyBorder="1" applyAlignment="1" applyProtection="1">
      <alignment horizontal="right" vertical="center"/>
      <protection locked="0"/>
    </xf>
    <xf numFmtId="3" fontId="33" fillId="17" borderId="158" xfId="1" applyNumberFormat="1" applyFont="1" applyFill="1" applyBorder="1" applyAlignment="1">
      <alignment horizontal="right" vertical="center"/>
    </xf>
    <xf numFmtId="10" fontId="40" fillId="0" borderId="0" xfId="0" applyNumberFormat="1" applyFont="1" applyAlignment="1">
      <alignment horizontal="center"/>
    </xf>
    <xf numFmtId="168" fontId="33" fillId="10" borderId="158" xfId="1" applyNumberFormat="1" applyFont="1" applyFill="1" applyBorder="1" applyAlignment="1">
      <alignment horizontal="right" vertical="center"/>
    </xf>
    <xf numFmtId="3" fontId="40" fillId="0" borderId="0" xfId="8" applyNumberFormat="1" applyFont="1"/>
    <xf numFmtId="168" fontId="33" fillId="0" borderId="0" xfId="8" applyNumberFormat="1" applyFont="1"/>
    <xf numFmtId="168" fontId="40" fillId="0" borderId="0" xfId="0" applyNumberFormat="1" applyFont="1"/>
    <xf numFmtId="168" fontId="40" fillId="0" borderId="0" xfId="8" applyNumberFormat="1" applyFont="1"/>
    <xf numFmtId="10" fontId="40" fillId="0" borderId="0" xfId="0" applyNumberFormat="1" applyFont="1"/>
    <xf numFmtId="0" fontId="40" fillId="0" borderId="0" xfId="0" quotePrefix="1" applyFont="1"/>
    <xf numFmtId="37" fontId="35" fillId="0" borderId="149" xfId="1" applyFont="1" applyBorder="1" applyAlignment="1">
      <alignment horizontal="right" vertical="center"/>
    </xf>
    <xf numFmtId="4" fontId="35" fillId="0" borderId="150" xfId="1" applyNumberFormat="1" applyFont="1" applyBorder="1" applyAlignment="1">
      <alignment horizontal="right" vertical="center"/>
    </xf>
    <xf numFmtId="37" fontId="36" fillId="0" borderId="149" xfId="1" applyFont="1" applyBorder="1" applyAlignment="1">
      <alignment horizontal="left" vertical="center"/>
    </xf>
    <xf numFmtId="3" fontId="35" fillId="0" borderId="150" xfId="8" applyNumberFormat="1" applyFont="1" applyBorder="1" applyAlignment="1">
      <alignment vertical="center"/>
    </xf>
    <xf numFmtId="4" fontId="35" fillId="0" borderId="154" xfId="1" applyNumberFormat="1" applyFont="1" applyBorder="1" applyAlignment="1">
      <alignment horizontal="right" vertical="center"/>
    </xf>
    <xf numFmtId="4" fontId="35" fillId="24" borderId="170" xfId="0" applyNumberFormat="1" applyFont="1" applyFill="1" applyBorder="1" applyAlignment="1">
      <alignment horizontal="right" vertical="center"/>
    </xf>
    <xf numFmtId="4" fontId="36" fillId="23" borderId="0" xfId="1" applyNumberFormat="1" applyFont="1" applyFill="1" applyAlignment="1">
      <alignment horizontal="right" vertical="center"/>
    </xf>
    <xf numFmtId="4" fontId="35" fillId="23" borderId="170" xfId="1" applyNumberFormat="1" applyFont="1" applyFill="1" applyBorder="1" applyAlignment="1">
      <alignment horizontal="right" vertical="center"/>
    </xf>
    <xf numFmtId="4" fontId="36" fillId="23" borderId="169" xfId="1" applyNumberFormat="1" applyFont="1" applyFill="1" applyBorder="1" applyAlignment="1">
      <alignment horizontal="right" vertical="center"/>
    </xf>
    <xf numFmtId="4" fontId="36" fillId="23" borderId="92" xfId="1" applyNumberFormat="1" applyFont="1" applyFill="1" applyBorder="1" applyAlignment="1">
      <alignment horizontal="right" vertical="center"/>
    </xf>
    <xf numFmtId="4" fontId="35" fillId="24" borderId="0" xfId="0" applyNumberFormat="1" applyFont="1" applyFill="1" applyAlignment="1">
      <alignment horizontal="right" vertical="center"/>
    </xf>
    <xf numFmtId="4" fontId="35" fillId="23" borderId="0" xfId="1" applyNumberFormat="1" applyFont="1" applyFill="1" applyAlignment="1">
      <alignment horizontal="right" vertical="center"/>
    </xf>
    <xf numFmtId="4" fontId="36" fillId="24" borderId="0" xfId="0" applyNumberFormat="1" applyFont="1" applyFill="1" applyAlignment="1">
      <alignment horizontal="right" vertical="center"/>
    </xf>
    <xf numFmtId="4" fontId="35" fillId="23" borderId="92" xfId="1" applyNumberFormat="1" applyFont="1" applyFill="1" applyBorder="1" applyAlignment="1">
      <alignment horizontal="right" vertical="center"/>
    </xf>
    <xf numFmtId="0" fontId="36" fillId="0" borderId="0" xfId="9" applyFont="1" applyAlignment="1">
      <alignment horizontal="center"/>
    </xf>
    <xf numFmtId="0" fontId="36" fillId="0" borderId="0" xfId="0" applyFont="1"/>
    <xf numFmtId="0" fontId="35" fillId="0" borderId="140" xfId="1" applyNumberFormat="1" applyFont="1" applyBorder="1" applyAlignment="1" applyProtection="1">
      <alignment vertical="center"/>
      <protection locked="0"/>
    </xf>
    <xf numFmtId="37" fontId="35" fillId="0" borderId="167" xfId="1" applyFont="1" applyBorder="1" applyAlignment="1" applyProtection="1">
      <alignment vertical="center"/>
      <protection locked="0"/>
    </xf>
    <xf numFmtId="37" fontId="36" fillId="0" borderId="137" xfId="1" applyFont="1" applyBorder="1" applyAlignment="1" applyProtection="1">
      <alignment vertical="center"/>
      <protection locked="0"/>
    </xf>
    <xf numFmtId="3" fontId="36" fillId="0" borderId="133" xfId="1" applyNumberFormat="1" applyFont="1" applyBorder="1" applyAlignment="1" applyProtection="1">
      <alignment horizontal="right" vertical="center"/>
      <protection locked="0"/>
    </xf>
    <xf numFmtId="168" fontId="36" fillId="0" borderId="133" xfId="1" applyNumberFormat="1" applyFont="1" applyBorder="1" applyAlignment="1" applyProtection="1">
      <alignment horizontal="right" vertical="center"/>
      <protection locked="0"/>
    </xf>
    <xf numFmtId="3" fontId="36" fillId="23" borderId="167" xfId="1" applyNumberFormat="1" applyFont="1" applyFill="1" applyBorder="1" applyAlignment="1" applyProtection="1">
      <alignment horizontal="center" vertical="center"/>
      <protection locked="0"/>
    </xf>
    <xf numFmtId="4" fontId="36" fillId="23" borderId="167" xfId="1" applyNumberFormat="1" applyFont="1" applyFill="1" applyBorder="1" applyAlignment="1" applyProtection="1">
      <alignment horizontal="right" vertical="center"/>
      <protection locked="0"/>
    </xf>
    <xf numFmtId="3" fontId="36" fillId="23" borderId="164" xfId="1" applyNumberFormat="1" applyFont="1" applyFill="1" applyBorder="1" applyAlignment="1" applyProtection="1">
      <alignment horizontal="center" vertical="center"/>
      <protection locked="0"/>
    </xf>
    <xf numFmtId="37" fontId="36" fillId="0" borderId="0" xfId="1" applyFont="1" applyAlignment="1">
      <alignment horizontal="right"/>
    </xf>
    <xf numFmtId="168" fontId="36" fillId="0" borderId="133" xfId="1" applyNumberFormat="1" applyFont="1" applyBorder="1" applyAlignment="1">
      <alignment horizontal="right" vertical="center"/>
    </xf>
    <xf numFmtId="169" fontId="36" fillId="0" borderId="0" xfId="0" applyNumberFormat="1" applyFont="1" applyAlignment="1">
      <alignment horizontal="right"/>
    </xf>
    <xf numFmtId="0" fontId="36" fillId="0" borderId="138" xfId="1" applyNumberFormat="1" applyFont="1" applyBorder="1" applyAlignment="1" applyProtection="1">
      <alignment horizontal="right" vertical="center"/>
      <protection locked="0"/>
    </xf>
    <xf numFmtId="37" fontId="36" fillId="0" borderId="170" xfId="1" applyFont="1" applyBorder="1" applyAlignment="1" applyProtection="1">
      <alignment horizontal="right" vertical="center"/>
      <protection locked="0"/>
    </xf>
    <xf numFmtId="3" fontId="36" fillId="0" borderId="134" xfId="1" applyNumberFormat="1" applyFont="1" applyBorder="1" applyAlignment="1" applyProtection="1">
      <alignment horizontal="right" vertical="center"/>
      <protection locked="0"/>
    </xf>
    <xf numFmtId="168" fontId="36" fillId="0" borderId="134" xfId="1" applyNumberFormat="1" applyFont="1" applyBorder="1" applyAlignment="1" applyProtection="1">
      <alignment horizontal="right" vertical="center"/>
      <protection locked="0"/>
    </xf>
    <xf numFmtId="3" fontId="36" fillId="23" borderId="170" xfId="1" applyNumberFormat="1" applyFont="1" applyFill="1" applyBorder="1" applyAlignment="1" applyProtection="1">
      <alignment horizontal="center" vertical="center"/>
      <protection locked="0"/>
    </xf>
    <xf numFmtId="4" fontId="35" fillId="24" borderId="170" xfId="0" applyNumberFormat="1" applyFont="1" applyFill="1" applyBorder="1" applyAlignment="1" applyProtection="1">
      <alignment horizontal="right" vertical="center"/>
      <protection locked="0"/>
    </xf>
    <xf numFmtId="3" fontId="36" fillId="23" borderId="144" xfId="1" applyNumberFormat="1" applyFont="1" applyFill="1" applyBorder="1" applyAlignment="1" applyProtection="1">
      <alignment horizontal="center" vertical="center"/>
      <protection locked="0"/>
    </xf>
    <xf numFmtId="168" fontId="36" fillId="0" borderId="0" xfId="1" applyNumberFormat="1" applyFont="1" applyAlignment="1">
      <alignment horizontal="right"/>
    </xf>
    <xf numFmtId="3" fontId="36" fillId="0" borderId="134" xfId="1" applyNumberFormat="1" applyFont="1" applyBorder="1" applyAlignment="1">
      <alignment horizontal="right" vertical="center"/>
    </xf>
    <xf numFmtId="168" fontId="36" fillId="0" borderId="134" xfId="1" applyNumberFormat="1" applyFont="1" applyBorder="1" applyAlignment="1">
      <alignment horizontal="right" vertical="center"/>
    </xf>
    <xf numFmtId="0" fontId="35" fillId="0" borderId="148" xfId="1" applyNumberFormat="1" applyFont="1" applyBorder="1" applyAlignment="1" applyProtection="1">
      <alignment vertical="center"/>
      <protection locked="0"/>
    </xf>
    <xf numFmtId="37" fontId="35" fillId="0" borderId="0" xfId="1" applyFont="1" applyAlignment="1" applyProtection="1">
      <alignment horizontal="left" vertical="center"/>
      <protection locked="0"/>
    </xf>
    <xf numFmtId="37" fontId="36" fillId="0" borderId="149" xfId="1" applyFont="1" applyBorder="1" applyAlignment="1" applyProtection="1">
      <alignment vertical="center"/>
      <protection locked="0"/>
    </xf>
    <xf numFmtId="3" fontId="36" fillId="0" borderId="150" xfId="8" applyNumberFormat="1" applyFont="1" applyBorder="1" applyAlignment="1" applyProtection="1">
      <alignment vertical="center"/>
      <protection locked="0"/>
    </xf>
    <xf numFmtId="168" fontId="36" fillId="0" borderId="150" xfId="8" applyNumberFormat="1" applyFont="1" applyBorder="1" applyAlignment="1" applyProtection="1">
      <alignment vertical="center"/>
      <protection locked="0"/>
    </xf>
    <xf numFmtId="3" fontId="36" fillId="0" borderId="150" xfId="1" applyNumberFormat="1" applyFont="1" applyBorder="1" applyAlignment="1" applyProtection="1">
      <alignment horizontal="right" vertical="center"/>
      <protection locked="0"/>
    </xf>
    <xf numFmtId="3" fontId="36" fillId="23" borderId="0" xfId="1" applyNumberFormat="1" applyFont="1" applyFill="1" applyAlignment="1" applyProtection="1">
      <alignment horizontal="center" vertical="center"/>
      <protection locked="0"/>
    </xf>
    <xf numFmtId="4" fontId="36" fillId="23" borderId="0" xfId="1" applyNumberFormat="1" applyFont="1" applyFill="1" applyAlignment="1" applyProtection="1">
      <alignment horizontal="right" vertical="center"/>
      <protection locked="0"/>
    </xf>
    <xf numFmtId="3" fontId="36" fillId="23" borderId="151" xfId="1" applyNumberFormat="1" applyFont="1" applyFill="1" applyBorder="1" applyAlignment="1" applyProtection="1">
      <alignment horizontal="center" vertical="center"/>
      <protection locked="0"/>
    </xf>
    <xf numFmtId="3" fontId="36" fillId="0" borderId="150" xfId="8" applyNumberFormat="1" applyFont="1" applyBorder="1" applyAlignment="1">
      <alignment vertical="center"/>
    </xf>
    <xf numFmtId="168" fontId="36" fillId="0" borderId="150" xfId="8" applyNumberFormat="1" applyFont="1" applyBorder="1" applyAlignment="1">
      <alignment vertical="center"/>
    </xf>
    <xf numFmtId="37" fontId="36" fillId="0" borderId="170" xfId="1" applyFont="1" applyBorder="1" applyAlignment="1" applyProtection="1">
      <alignment vertical="center"/>
      <protection locked="0"/>
    </xf>
    <xf numFmtId="3" fontId="36" fillId="0" borderId="134" xfId="1" quotePrefix="1" applyNumberFormat="1" applyFont="1" applyBorder="1" applyAlignment="1" applyProtection="1">
      <alignment horizontal="right" vertical="center"/>
      <protection locked="0"/>
    </xf>
    <xf numFmtId="4" fontId="35" fillId="23" borderId="170" xfId="1" applyNumberFormat="1" applyFont="1" applyFill="1" applyBorder="1" applyAlignment="1" applyProtection="1">
      <alignment horizontal="right" vertical="center"/>
      <protection locked="0"/>
    </xf>
    <xf numFmtId="0" fontId="35" fillId="0" borderId="156" xfId="1" applyNumberFormat="1" applyFont="1" applyBorder="1" applyAlignment="1" applyProtection="1">
      <alignment vertical="center"/>
      <protection locked="0"/>
    </xf>
    <xf numFmtId="37" fontId="35" fillId="0" borderId="169" xfId="1" applyFont="1" applyBorder="1" applyAlignment="1" applyProtection="1">
      <alignment vertical="center"/>
      <protection locked="0"/>
    </xf>
    <xf numFmtId="37" fontId="36" fillId="0" borderId="145" xfId="1" applyFont="1" applyBorder="1" applyAlignment="1" applyProtection="1">
      <alignment vertical="center"/>
      <protection locked="0"/>
    </xf>
    <xf numFmtId="3" fontId="36" fillId="0" borderId="146" xfId="1" applyNumberFormat="1" applyFont="1" applyBorder="1" applyAlignment="1" applyProtection="1">
      <alignment horizontal="right" vertical="center"/>
      <protection locked="0"/>
    </xf>
    <xf numFmtId="168" fontId="36" fillId="0" borderId="146" xfId="1" applyNumberFormat="1" applyFont="1" applyBorder="1" applyAlignment="1" applyProtection="1">
      <alignment horizontal="right" vertical="center"/>
      <protection locked="0"/>
    </xf>
    <xf numFmtId="3" fontId="36" fillId="23" borderId="169" xfId="1" applyNumberFormat="1" applyFont="1" applyFill="1" applyBorder="1" applyAlignment="1" applyProtection="1">
      <alignment horizontal="center" vertical="center"/>
      <protection locked="0"/>
    </xf>
    <xf numFmtId="4" fontId="36" fillId="23" borderId="169" xfId="1" applyNumberFormat="1" applyFont="1" applyFill="1" applyBorder="1" applyAlignment="1" applyProtection="1">
      <alignment horizontal="right" vertical="center"/>
      <protection locked="0"/>
    </xf>
    <xf numFmtId="3" fontId="36" fillId="23" borderId="147" xfId="1" applyNumberFormat="1" applyFont="1" applyFill="1" applyBorder="1" applyAlignment="1" applyProtection="1">
      <alignment horizontal="center" vertical="center"/>
      <protection locked="0"/>
    </xf>
    <xf numFmtId="168" fontId="36" fillId="0" borderId="146" xfId="1" applyNumberFormat="1" applyFont="1" applyBorder="1" applyAlignment="1">
      <alignment horizontal="right" vertical="center"/>
    </xf>
    <xf numFmtId="0" fontId="36" fillId="0" borderId="148" xfId="1" applyNumberFormat="1" applyFont="1" applyBorder="1" applyAlignment="1" applyProtection="1">
      <alignment horizontal="right" vertical="center"/>
      <protection locked="0"/>
    </xf>
    <xf numFmtId="37" fontId="36" fillId="0" borderId="0" xfId="1" applyFont="1" applyAlignment="1" applyProtection="1">
      <alignment horizontal="right" vertical="center"/>
      <protection locked="0"/>
    </xf>
    <xf numFmtId="168" fontId="36" fillId="0" borderId="150" xfId="1" applyNumberFormat="1" applyFont="1" applyBorder="1" applyAlignment="1" applyProtection="1">
      <alignment horizontal="right" vertical="center"/>
      <protection locked="0"/>
    </xf>
    <xf numFmtId="3" fontId="36" fillId="0" borderId="150" xfId="1" quotePrefix="1" applyNumberFormat="1" applyFont="1" applyBorder="1" applyAlignment="1" applyProtection="1">
      <alignment horizontal="right" vertical="center"/>
      <protection locked="0"/>
    </xf>
    <xf numFmtId="168" fontId="36" fillId="0" borderId="150" xfId="1" applyNumberFormat="1" applyFont="1" applyBorder="1" applyAlignment="1">
      <alignment horizontal="right" vertical="center"/>
    </xf>
    <xf numFmtId="3" fontId="36" fillId="0" borderId="154" xfId="1" applyNumberFormat="1" applyFont="1" applyBorder="1" applyAlignment="1" applyProtection="1">
      <alignment horizontal="right" vertical="center"/>
      <protection locked="0"/>
    </xf>
    <xf numFmtId="168" fontId="36" fillId="0" borderId="154" xfId="1" applyNumberFormat="1" applyFont="1" applyBorder="1" applyAlignment="1" applyProtection="1">
      <alignment horizontal="right" vertical="center"/>
      <protection locked="0"/>
    </xf>
    <xf numFmtId="3" fontId="36" fillId="0" borderId="154" xfId="0" quotePrefix="1" applyNumberFormat="1" applyFont="1" applyBorder="1" applyAlignment="1" applyProtection="1">
      <alignment horizontal="right" vertical="center"/>
      <protection locked="0"/>
    </xf>
    <xf numFmtId="3" fontId="36" fillId="23" borderId="92" xfId="0" applyNumberFormat="1" applyFont="1" applyFill="1" applyBorder="1" applyAlignment="1" applyProtection="1">
      <alignment horizontal="center" vertical="center"/>
      <protection locked="0"/>
    </xf>
    <xf numFmtId="4" fontId="36" fillId="23" borderId="92" xfId="1" applyNumberFormat="1" applyFont="1" applyFill="1" applyBorder="1" applyAlignment="1" applyProtection="1">
      <alignment horizontal="right" vertical="center"/>
      <protection locked="0"/>
    </xf>
    <xf numFmtId="3" fontId="36" fillId="23" borderId="155" xfId="0" applyNumberFormat="1" applyFont="1" applyFill="1" applyBorder="1" applyAlignment="1" applyProtection="1">
      <alignment horizontal="center" vertical="center"/>
      <protection locked="0"/>
    </xf>
    <xf numFmtId="3" fontId="36" fillId="0" borderId="154" xfId="1" applyNumberFormat="1" applyFont="1" applyBorder="1" applyAlignment="1">
      <alignment horizontal="right" vertical="center"/>
    </xf>
    <xf numFmtId="168" fontId="36" fillId="0" borderId="154" xfId="1" applyNumberFormat="1" applyFont="1" applyBorder="1" applyAlignment="1">
      <alignment horizontal="right" vertical="center"/>
    </xf>
    <xf numFmtId="0" fontId="35" fillId="0" borderId="138" xfId="1" applyNumberFormat="1" applyFont="1" applyBorder="1" applyAlignment="1" applyProtection="1">
      <alignment vertical="center"/>
      <protection locked="0"/>
    </xf>
    <xf numFmtId="37" fontId="35" fillId="0" borderId="170" xfId="1" applyFont="1" applyBorder="1" applyAlignment="1" applyProtection="1">
      <alignment vertical="center"/>
      <protection locked="0"/>
    </xf>
    <xf numFmtId="37" fontId="35" fillId="0" borderId="139" xfId="1" applyFont="1" applyBorder="1" applyAlignment="1" applyProtection="1">
      <alignment horizontal="right" vertical="center"/>
      <protection locked="0"/>
    </xf>
    <xf numFmtId="3" fontId="35" fillId="0" borderId="134" xfId="1" applyNumberFormat="1" applyFont="1" applyBorder="1" applyAlignment="1" applyProtection="1">
      <alignment horizontal="right" vertical="center"/>
      <protection locked="0"/>
    </xf>
    <xf numFmtId="168" fontId="35" fillId="0" borderId="134" xfId="1" applyNumberFormat="1" applyFont="1" applyBorder="1" applyAlignment="1" applyProtection="1">
      <alignment horizontal="right" vertical="center"/>
      <protection locked="0"/>
    </xf>
    <xf numFmtId="3" fontId="35" fillId="23" borderId="170" xfId="0" applyNumberFormat="1" applyFont="1" applyFill="1" applyBorder="1" applyAlignment="1" applyProtection="1">
      <alignment horizontal="center" vertical="center"/>
      <protection locked="0"/>
    </xf>
    <xf numFmtId="3" fontId="35" fillId="23" borderId="144" xfId="0" applyNumberFormat="1" applyFont="1" applyFill="1" applyBorder="1" applyAlignment="1" applyProtection="1">
      <alignment horizontal="center" vertical="center"/>
      <protection locked="0"/>
    </xf>
    <xf numFmtId="168" fontId="35" fillId="0" borderId="0" xfId="1" applyNumberFormat="1" applyFont="1" applyAlignment="1">
      <alignment horizontal="right"/>
    </xf>
    <xf numFmtId="3" fontId="35" fillId="0" borderId="134" xfId="1" applyNumberFormat="1" applyFont="1" applyBorder="1" applyAlignment="1">
      <alignment horizontal="right" vertical="center"/>
    </xf>
    <xf numFmtId="0" fontId="35" fillId="0" borderId="0" xfId="0" applyFont="1"/>
    <xf numFmtId="168" fontId="35" fillId="0" borderId="134" xfId="1" applyNumberFormat="1" applyFont="1" applyBorder="1" applyAlignment="1">
      <alignment horizontal="right" vertical="center"/>
    </xf>
    <xf numFmtId="169" fontId="35" fillId="0" borderId="0" xfId="0" applyNumberFormat="1" applyFont="1" applyAlignment="1">
      <alignment horizontal="right"/>
    </xf>
    <xf numFmtId="37" fontId="36" fillId="0" borderId="0" xfId="1" applyFont="1" applyAlignment="1" applyProtection="1">
      <alignment vertical="center"/>
      <protection locked="0"/>
    </xf>
    <xf numFmtId="37" fontId="35" fillId="0" borderId="149" xfId="1" applyFont="1" applyBorder="1" applyAlignment="1" applyProtection="1">
      <alignment horizontal="right" vertical="center"/>
      <protection locked="0"/>
    </xf>
    <xf numFmtId="3" fontId="35" fillId="0" borderId="150" xfId="1" applyNumberFormat="1" applyFont="1" applyBorder="1" applyAlignment="1" applyProtection="1">
      <alignment horizontal="right" vertical="center"/>
      <protection locked="0"/>
    </xf>
    <xf numFmtId="168" fontId="35" fillId="0" borderId="150" xfId="1" applyNumberFormat="1" applyFont="1" applyBorder="1" applyAlignment="1" applyProtection="1">
      <alignment horizontal="right" vertical="center"/>
      <protection locked="0"/>
    </xf>
    <xf numFmtId="3" fontId="35" fillId="23" borderId="0" xfId="0" applyNumberFormat="1" applyFont="1" applyFill="1" applyAlignment="1" applyProtection="1">
      <alignment horizontal="center" vertical="center"/>
      <protection locked="0"/>
    </xf>
    <xf numFmtId="4" fontId="35" fillId="24" borderId="0" xfId="0" applyNumberFormat="1" applyFont="1" applyFill="1" applyAlignment="1" applyProtection="1">
      <alignment horizontal="right" vertical="center"/>
      <protection locked="0"/>
    </xf>
    <xf numFmtId="3" fontId="35" fillId="23" borderId="151" xfId="0" applyNumberFormat="1" applyFont="1" applyFill="1" applyBorder="1" applyAlignment="1" applyProtection="1">
      <alignment horizontal="center" vertical="center"/>
      <protection locked="0"/>
    </xf>
    <xf numFmtId="3" fontId="35" fillId="0" borderId="150" xfId="1" applyNumberFormat="1" applyFont="1" applyBorder="1" applyAlignment="1">
      <alignment horizontal="right" vertical="center"/>
    </xf>
    <xf numFmtId="0" fontId="36" fillId="0" borderId="148" xfId="1" applyNumberFormat="1" applyFont="1" applyBorder="1" applyAlignment="1" applyProtection="1">
      <alignment vertical="center"/>
      <protection locked="0"/>
    </xf>
    <xf numFmtId="37" fontId="36" fillId="0" borderId="149" xfId="1" applyFont="1" applyBorder="1" applyAlignment="1" applyProtection="1">
      <alignment horizontal="left" vertical="center"/>
      <protection locked="0"/>
    </xf>
    <xf numFmtId="4" fontId="35" fillId="23" borderId="169" xfId="1" applyNumberFormat="1" applyFont="1" applyFill="1" applyBorder="1" applyAlignment="1" applyProtection="1">
      <alignment horizontal="right" vertical="center"/>
      <protection locked="0"/>
    </xf>
    <xf numFmtId="3" fontId="36" fillId="23" borderId="92" xfId="1" applyNumberFormat="1" applyFont="1" applyFill="1" applyBorder="1" applyAlignment="1" applyProtection="1">
      <alignment horizontal="center" vertical="center"/>
      <protection locked="0"/>
    </xf>
    <xf numFmtId="3" fontId="36" fillId="23" borderId="155" xfId="1" applyNumberFormat="1" applyFont="1" applyFill="1" applyBorder="1" applyAlignment="1" applyProtection="1">
      <alignment horizontal="center" vertical="center"/>
      <protection locked="0"/>
    </xf>
    <xf numFmtId="3" fontId="35" fillId="23" borderId="170" xfId="1" applyNumberFormat="1" applyFont="1" applyFill="1" applyBorder="1" applyAlignment="1" applyProtection="1">
      <alignment horizontal="center" vertical="center"/>
      <protection locked="0"/>
    </xf>
    <xf numFmtId="3" fontId="35" fillId="23" borderId="144" xfId="1" applyNumberFormat="1" applyFont="1" applyFill="1" applyBorder="1" applyAlignment="1" applyProtection="1">
      <alignment horizontal="center" vertical="center"/>
      <protection locked="0"/>
    </xf>
    <xf numFmtId="166" fontId="36" fillId="0" borderId="0" xfId="0" applyNumberFormat="1" applyFont="1"/>
    <xf numFmtId="170" fontId="36" fillId="0" borderId="0" xfId="0" applyNumberFormat="1" applyFont="1"/>
    <xf numFmtId="0" fontId="35" fillId="0" borderId="148" xfId="1" applyNumberFormat="1" applyFont="1" applyBorder="1" applyAlignment="1" applyProtection="1">
      <alignment horizontal="right" vertical="center"/>
      <protection locked="0"/>
    </xf>
    <xf numFmtId="37" fontId="35" fillId="0" borderId="0" xfId="1" applyFont="1" applyAlignment="1" applyProtection="1">
      <alignment horizontal="right" vertical="center"/>
      <protection locked="0"/>
    </xf>
    <xf numFmtId="3" fontId="35" fillId="23" borderId="0" xfId="1" applyNumberFormat="1" applyFont="1" applyFill="1" applyAlignment="1" applyProtection="1">
      <alignment horizontal="center" vertical="center"/>
      <protection locked="0"/>
    </xf>
    <xf numFmtId="4" fontId="35" fillId="23" borderId="0" xfId="1" applyNumberFormat="1" applyFont="1" applyFill="1" applyAlignment="1" applyProtection="1">
      <alignment horizontal="right" vertical="center"/>
      <protection locked="0"/>
    </xf>
    <xf numFmtId="3" fontId="35" fillId="23" borderId="151" xfId="1" applyNumberFormat="1" applyFont="1" applyFill="1" applyBorder="1" applyAlignment="1" applyProtection="1">
      <alignment horizontal="center" vertical="center"/>
      <protection locked="0"/>
    </xf>
    <xf numFmtId="168" fontId="35" fillId="0" borderId="150" xfId="1" applyNumberFormat="1" applyFont="1" applyBorder="1" applyAlignment="1">
      <alignment horizontal="right" vertical="center"/>
    </xf>
    <xf numFmtId="170" fontId="35" fillId="0" borderId="0" xfId="0" applyNumberFormat="1" applyFont="1"/>
    <xf numFmtId="166" fontId="35" fillId="0" borderId="0" xfId="0" applyNumberFormat="1" applyFont="1"/>
    <xf numFmtId="4" fontId="35" fillId="23" borderId="170" xfId="0" applyNumberFormat="1" applyFont="1" applyFill="1" applyBorder="1" applyAlignment="1" applyProtection="1">
      <alignment horizontal="right" vertical="center"/>
      <protection locked="0"/>
    </xf>
    <xf numFmtId="3" fontId="36" fillId="0" borderId="150" xfId="1" quotePrefix="1" applyNumberFormat="1" applyFont="1" applyBorder="1" applyAlignment="1">
      <alignment horizontal="right" vertical="center"/>
    </xf>
    <xf numFmtId="3" fontId="36" fillId="23" borderId="161" xfId="1" applyNumberFormat="1" applyFont="1" applyFill="1" applyBorder="1" applyAlignment="1" applyProtection="1">
      <alignment horizontal="center" vertical="center"/>
      <protection locked="0"/>
    </xf>
    <xf numFmtId="0" fontId="36" fillId="0" borderId="0" xfId="8" applyFont="1"/>
    <xf numFmtId="168" fontId="36" fillId="0" borderId="150" xfId="8" applyNumberFormat="1" applyFont="1" applyBorder="1"/>
    <xf numFmtId="3" fontId="36" fillId="23" borderId="0" xfId="8" applyNumberFormat="1" applyFont="1" applyFill="1" applyAlignment="1">
      <alignment horizontal="center"/>
    </xf>
    <xf numFmtId="3" fontId="36" fillId="23" borderId="151" xfId="8" applyNumberFormat="1" applyFont="1" applyFill="1" applyBorder="1" applyAlignment="1">
      <alignment horizontal="center"/>
    </xf>
    <xf numFmtId="3" fontId="36" fillId="0" borderId="154" xfId="1" quotePrefix="1" applyNumberFormat="1" applyFont="1" applyBorder="1" applyAlignment="1" applyProtection="1">
      <alignment horizontal="right" vertical="center"/>
      <protection locked="0"/>
    </xf>
    <xf numFmtId="3" fontId="36" fillId="23" borderId="181" xfId="1" applyNumberFormat="1" applyFont="1" applyFill="1" applyBorder="1" applyAlignment="1" applyProtection="1">
      <alignment horizontal="center" vertical="center"/>
      <protection locked="0"/>
    </xf>
    <xf numFmtId="3" fontId="35" fillId="0" borderId="160" xfId="1" applyNumberFormat="1" applyFont="1" applyBorder="1" applyAlignment="1" applyProtection="1">
      <alignment horizontal="right" vertical="center"/>
      <protection locked="0"/>
    </xf>
    <xf numFmtId="168" fontId="35" fillId="0" borderId="160" xfId="1" applyNumberFormat="1" applyFont="1" applyBorder="1" applyAlignment="1" applyProtection="1">
      <alignment horizontal="right" vertical="center"/>
      <protection locked="0"/>
    </xf>
    <xf numFmtId="3" fontId="35" fillId="0" borderId="160" xfId="1" applyNumberFormat="1" applyFont="1" applyBorder="1" applyAlignment="1">
      <alignment horizontal="right" vertical="center"/>
    </xf>
    <xf numFmtId="168" fontId="35" fillId="0" borderId="160" xfId="1" applyNumberFormat="1" applyFont="1" applyBorder="1" applyAlignment="1">
      <alignment horizontal="right" vertical="center"/>
    </xf>
    <xf numFmtId="0" fontId="36" fillId="0" borderId="152" xfId="1" applyNumberFormat="1" applyFont="1" applyBorder="1" applyAlignment="1" applyProtection="1">
      <alignment horizontal="right" vertical="center"/>
      <protection locked="0"/>
    </xf>
    <xf numFmtId="37" fontId="36" fillId="0" borderId="92" xfId="1" applyFont="1" applyBorder="1" applyAlignment="1" applyProtection="1">
      <alignment horizontal="right" vertical="center"/>
      <protection locked="0"/>
    </xf>
    <xf numFmtId="4" fontId="35" fillId="23" borderId="92" xfId="1" applyNumberFormat="1" applyFont="1" applyFill="1" applyBorder="1" applyAlignment="1" applyProtection="1">
      <alignment horizontal="right" vertical="center"/>
      <protection locked="0"/>
    </xf>
    <xf numFmtId="3" fontId="35" fillId="10" borderId="158" xfId="1" applyNumberFormat="1" applyFont="1" applyFill="1" applyBorder="1" applyAlignment="1" applyProtection="1">
      <alignment horizontal="right" vertical="center"/>
      <protection locked="0"/>
    </xf>
    <xf numFmtId="168" fontId="35" fillId="10" borderId="158" xfId="1" applyNumberFormat="1" applyFont="1" applyFill="1" applyBorder="1" applyAlignment="1" applyProtection="1">
      <alignment horizontal="right" vertical="center"/>
      <protection locked="0"/>
    </xf>
    <xf numFmtId="3" fontId="35" fillId="10" borderId="166" xfId="1" applyNumberFormat="1" applyFont="1" applyFill="1" applyBorder="1" applyAlignment="1" applyProtection="1">
      <alignment horizontal="center" vertical="center"/>
      <protection locked="0"/>
    </xf>
    <xf numFmtId="4" fontId="35" fillId="12" borderId="173" xfId="8" applyNumberFormat="1" applyFont="1" applyFill="1" applyBorder="1" applyAlignment="1" applyProtection="1">
      <alignment vertical="center"/>
      <protection locked="0"/>
    </xf>
    <xf numFmtId="3" fontId="35" fillId="10" borderId="159" xfId="1" applyNumberFormat="1" applyFont="1" applyFill="1" applyBorder="1" applyAlignment="1" applyProtection="1">
      <alignment horizontal="center" vertical="center"/>
      <protection locked="0"/>
    </xf>
    <xf numFmtId="3" fontId="35" fillId="17" borderId="158" xfId="1" applyNumberFormat="1" applyFont="1" applyFill="1" applyBorder="1" applyAlignment="1">
      <alignment horizontal="right" vertical="center"/>
    </xf>
    <xf numFmtId="10" fontId="36" fillId="0" borderId="0" xfId="0" applyNumberFormat="1" applyFont="1" applyAlignment="1">
      <alignment horizontal="center"/>
    </xf>
    <xf numFmtId="168" fontId="35" fillId="10" borderId="158" xfId="1" applyNumberFormat="1" applyFont="1" applyFill="1" applyBorder="1" applyAlignment="1">
      <alignment horizontal="right" vertical="center"/>
    </xf>
    <xf numFmtId="10" fontId="36" fillId="0" borderId="0" xfId="0" applyNumberFormat="1" applyFont="1"/>
    <xf numFmtId="3" fontId="36" fillId="0" borderId="0" xfId="8" applyNumberFormat="1" applyFont="1"/>
    <xf numFmtId="168" fontId="36" fillId="0" borderId="0" xfId="8" applyNumberFormat="1" applyFont="1"/>
    <xf numFmtId="168" fontId="35" fillId="0" borderId="0" xfId="8" applyNumberFormat="1" applyFont="1"/>
    <xf numFmtId="3" fontId="35" fillId="0" borderId="0" xfId="8" applyNumberFormat="1" applyFont="1"/>
    <xf numFmtId="3" fontId="35" fillId="0" borderId="0" xfId="8" applyNumberFormat="1" applyFont="1" applyAlignment="1">
      <alignment horizontal="center"/>
    </xf>
    <xf numFmtId="4" fontId="36" fillId="0" borderId="0" xfId="0" applyNumberFormat="1" applyFont="1"/>
    <xf numFmtId="0" fontId="41" fillId="0" borderId="0" xfId="0" applyFont="1"/>
    <xf numFmtId="3" fontId="36" fillId="0" borderId="0" xfId="8" applyNumberFormat="1" applyFont="1" applyAlignment="1">
      <alignment horizontal="center"/>
    </xf>
    <xf numFmtId="168" fontId="36" fillId="0" borderId="0" xfId="0" applyNumberFormat="1" applyFont="1"/>
    <xf numFmtId="168" fontId="36" fillId="0" borderId="0" xfId="8" applyNumberFormat="1" applyFont="1" applyAlignment="1">
      <alignment horizontal="right"/>
    </xf>
    <xf numFmtId="171" fontId="36" fillId="0" borderId="0" xfId="8" applyNumberFormat="1" applyFont="1"/>
    <xf numFmtId="3" fontId="36" fillId="0" borderId="0" xfId="8" applyNumberFormat="1" applyFont="1" applyAlignment="1">
      <alignment horizontal="left"/>
    </xf>
    <xf numFmtId="0" fontId="36" fillId="0" borderId="0" xfId="0" quotePrefix="1" applyFont="1"/>
    <xf numFmtId="0" fontId="36" fillId="0" borderId="148" xfId="8" applyFont="1" applyBorder="1"/>
    <xf numFmtId="168" fontId="35" fillId="0" borderId="0" xfId="0" applyNumberFormat="1" applyFont="1"/>
    <xf numFmtId="3" fontId="36" fillId="0" borderId="150" xfId="8" applyNumberFormat="1" applyFont="1" applyBorder="1"/>
    <xf numFmtId="0" fontId="36" fillId="0" borderId="149" xfId="8" applyFont="1" applyBorder="1" applyAlignment="1">
      <alignment horizontal="left"/>
    </xf>
    <xf numFmtId="37" fontId="36" fillId="0" borderId="153" xfId="1" applyFont="1" applyBorder="1" applyAlignment="1" applyProtection="1">
      <alignment horizontal="left" vertical="center"/>
      <protection locked="0"/>
    </xf>
    <xf numFmtId="37" fontId="36" fillId="0" borderId="139" xfId="1" applyFont="1" applyBorder="1" applyAlignment="1" applyProtection="1">
      <alignment horizontal="left" vertical="center"/>
      <protection locked="0"/>
    </xf>
    <xf numFmtId="3" fontId="35" fillId="23" borderId="92" xfId="0" applyNumberFormat="1" applyFont="1" applyFill="1" applyBorder="1" applyAlignment="1" applyProtection="1">
      <alignment horizontal="center" vertical="center"/>
      <protection locked="0"/>
    </xf>
    <xf numFmtId="3" fontId="35" fillId="23" borderId="155" xfId="0" applyNumberFormat="1" applyFont="1" applyFill="1" applyBorder="1" applyAlignment="1" applyProtection="1">
      <alignment horizontal="center" vertical="center"/>
      <protection locked="0"/>
    </xf>
    <xf numFmtId="3" fontId="35" fillId="0" borderId="154" xfId="1" applyNumberFormat="1" applyFont="1" applyBorder="1" applyAlignment="1">
      <alignment horizontal="right" vertical="center"/>
    </xf>
    <xf numFmtId="0" fontId="36" fillId="0" borderId="150" xfId="0" applyFont="1" applyBorder="1"/>
    <xf numFmtId="168" fontId="36" fillId="0" borderId="219" xfId="1" applyNumberFormat="1" applyFont="1" applyBorder="1" applyAlignment="1">
      <alignment horizontal="right"/>
    </xf>
    <xf numFmtId="4" fontId="36" fillId="24" borderId="0" xfId="0" applyNumberFormat="1" applyFont="1" applyFill="1" applyAlignment="1" applyProtection="1">
      <alignment horizontal="right" vertical="center"/>
      <protection locked="0"/>
    </xf>
    <xf numFmtId="4" fontId="36" fillId="24" borderId="92" xfId="0" applyNumberFormat="1" applyFont="1" applyFill="1" applyBorder="1" applyAlignment="1" applyProtection="1">
      <alignment horizontal="right" vertical="center"/>
      <protection locked="0"/>
    </xf>
    <xf numFmtId="3" fontId="36" fillId="0" borderId="160" xfId="1" applyNumberFormat="1" applyFont="1" applyBorder="1" applyAlignment="1" applyProtection="1">
      <alignment horizontal="right" vertical="center"/>
      <protection locked="0"/>
    </xf>
    <xf numFmtId="3" fontId="35" fillId="0" borderId="150" xfId="1" quotePrefix="1" applyNumberFormat="1" applyFont="1" applyBorder="1" applyAlignment="1" applyProtection="1">
      <alignment horizontal="right" vertical="center"/>
      <protection locked="0"/>
    </xf>
    <xf numFmtId="3" fontId="35" fillId="31" borderId="158" xfId="1" applyNumberFormat="1" applyFont="1" applyFill="1" applyBorder="1" applyAlignment="1" applyProtection="1">
      <alignment horizontal="right" vertical="center"/>
      <protection locked="0"/>
    </xf>
    <xf numFmtId="3" fontId="35" fillId="33" borderId="158" xfId="1" applyNumberFormat="1" applyFont="1" applyFill="1" applyBorder="1" applyAlignment="1">
      <alignment horizontal="right" vertical="center"/>
    </xf>
    <xf numFmtId="3" fontId="2" fillId="0" borderId="0" xfId="0" applyNumberFormat="1" applyFont="1" applyAlignment="1">
      <alignment horizontal="center"/>
    </xf>
    <xf numFmtId="4" fontId="36" fillId="24" borderId="92" xfId="0" applyNumberFormat="1" applyFont="1" applyFill="1" applyBorder="1" applyAlignment="1">
      <alignment horizontal="right" vertical="center"/>
    </xf>
    <xf numFmtId="37" fontId="35" fillId="0" borderId="167" xfId="1" applyFont="1" applyBorder="1" applyAlignment="1">
      <alignment horizontal="center" vertical="center"/>
    </xf>
    <xf numFmtId="37" fontId="36" fillId="0" borderId="170" xfId="1" applyFont="1" applyBorder="1" applyAlignment="1">
      <alignment horizontal="center" vertical="center"/>
    </xf>
    <xf numFmtId="37" fontId="35" fillId="0" borderId="0" xfId="1" applyFont="1" applyAlignment="1">
      <alignment horizontal="center" vertical="center"/>
    </xf>
    <xf numFmtId="37" fontId="35" fillId="0" borderId="169" xfId="1" applyFont="1" applyBorder="1" applyAlignment="1">
      <alignment horizontal="center" vertical="center"/>
    </xf>
    <xf numFmtId="37" fontId="36" fillId="0" borderId="0" xfId="1" applyFont="1" applyAlignment="1">
      <alignment horizontal="center" vertical="center"/>
    </xf>
    <xf numFmtId="37" fontId="36" fillId="0" borderId="92" xfId="1" applyFont="1" applyBorder="1" applyAlignment="1">
      <alignment horizontal="center" vertical="center"/>
    </xf>
    <xf numFmtId="0" fontId="42" fillId="0" borderId="0" xfId="0" applyFont="1" applyAlignment="1">
      <alignment horizontal="justify" vertical="center"/>
    </xf>
    <xf numFmtId="37" fontId="22" fillId="0" borderId="0" xfId="1" applyFont="1" applyAlignment="1">
      <alignment horizontal="right" vertical="center"/>
    </xf>
    <xf numFmtId="173" fontId="22" fillId="0" borderId="0" xfId="1" applyNumberFormat="1" applyFont="1" applyAlignment="1">
      <alignment horizontal="right" vertical="center"/>
    </xf>
    <xf numFmtId="3" fontId="22" fillId="0" borderId="0" xfId="1" applyNumberFormat="1" applyFont="1" applyAlignment="1">
      <alignment horizontal="center" vertical="center"/>
    </xf>
    <xf numFmtId="4" fontId="22" fillId="0" borderId="0" xfId="1" applyNumberFormat="1" applyFont="1" applyAlignment="1">
      <alignment horizontal="right" vertical="center"/>
    </xf>
    <xf numFmtId="49" fontId="43" fillId="0" borderId="0" xfId="0" applyNumberFormat="1" applyFont="1" applyAlignment="1">
      <alignment horizontal="left" vertical="center"/>
    </xf>
    <xf numFmtId="3" fontId="36" fillId="0" borderId="135" xfId="1" applyNumberFormat="1" applyFont="1" applyBorder="1" applyAlignment="1" applyProtection="1">
      <alignment horizontal="right" vertical="center"/>
      <protection locked="0"/>
    </xf>
    <xf numFmtId="3" fontId="36" fillId="0" borderId="136" xfId="1" applyNumberFormat="1" applyFont="1" applyBorder="1" applyAlignment="1" applyProtection="1">
      <alignment horizontal="right" vertical="center"/>
      <protection locked="0"/>
    </xf>
    <xf numFmtId="3" fontId="36" fillId="0" borderId="221" xfId="1" applyNumberFormat="1" applyFont="1" applyBorder="1" applyAlignment="1" applyProtection="1">
      <alignment horizontal="right" vertical="center"/>
      <protection locked="0"/>
    </xf>
    <xf numFmtId="3" fontId="36" fillId="0" borderId="136" xfId="1" quotePrefix="1" applyNumberFormat="1" applyFont="1" applyBorder="1" applyAlignment="1" applyProtection="1">
      <alignment horizontal="right" vertical="center"/>
      <protection locked="0"/>
    </xf>
    <xf numFmtId="3" fontId="36" fillId="0" borderId="222" xfId="1" applyNumberFormat="1" applyFont="1" applyBorder="1" applyAlignment="1" applyProtection="1">
      <alignment horizontal="right" vertical="center"/>
      <protection locked="0"/>
    </xf>
    <xf numFmtId="3" fontId="36" fillId="0" borderId="221" xfId="1" quotePrefix="1" applyNumberFormat="1" applyFont="1" applyBorder="1" applyAlignment="1" applyProtection="1">
      <alignment horizontal="right" vertical="center"/>
      <protection locked="0"/>
    </xf>
    <xf numFmtId="3" fontId="36" fillId="0" borderId="223" xfId="0" quotePrefix="1" applyNumberFormat="1" applyFont="1" applyBorder="1" applyAlignment="1" applyProtection="1">
      <alignment horizontal="right" vertical="center"/>
      <protection locked="0"/>
    </xf>
    <xf numFmtId="3" fontId="35" fillId="0" borderId="136" xfId="1" applyNumberFormat="1" applyFont="1" applyBorder="1" applyAlignment="1" applyProtection="1">
      <alignment horizontal="right" vertical="center"/>
      <protection locked="0"/>
    </xf>
    <xf numFmtId="3" fontId="35" fillId="0" borderId="221" xfId="1" applyNumberFormat="1" applyFont="1" applyBorder="1" applyAlignment="1" applyProtection="1">
      <alignment horizontal="right" vertical="center"/>
      <protection locked="0"/>
    </xf>
    <xf numFmtId="3" fontId="36" fillId="0" borderId="223" xfId="1" applyNumberFormat="1" applyFont="1" applyBorder="1" applyAlignment="1" applyProtection="1">
      <alignment horizontal="right" vertical="center"/>
      <protection locked="0"/>
    </xf>
    <xf numFmtId="3" fontId="36" fillId="0" borderId="223" xfId="1" quotePrefix="1" applyNumberFormat="1" applyFont="1" applyBorder="1" applyAlignment="1" applyProtection="1">
      <alignment horizontal="right" vertical="center"/>
      <protection locked="0"/>
    </xf>
    <xf numFmtId="3" fontId="35" fillId="10" borderId="224" xfId="1" applyNumberFormat="1" applyFont="1" applyFill="1" applyBorder="1" applyAlignment="1" applyProtection="1">
      <alignment horizontal="right" vertical="center"/>
      <protection locked="0"/>
    </xf>
    <xf numFmtId="0" fontId="36" fillId="0" borderId="0" xfId="8" applyFont="1" applyAlignment="1">
      <alignment vertical="center"/>
    </xf>
    <xf numFmtId="0" fontId="19" fillId="0" borderId="0" xfId="8" applyFont="1" applyAlignment="1">
      <alignment horizontal="center" vertical="center"/>
    </xf>
    <xf numFmtId="0" fontId="19" fillId="0" borderId="0" xfId="8" applyFont="1" applyAlignment="1">
      <alignment vertical="center"/>
    </xf>
    <xf numFmtId="3" fontId="19" fillId="0" borderId="0" xfId="8" applyNumberFormat="1" applyFont="1" applyAlignment="1">
      <alignment vertical="center"/>
    </xf>
    <xf numFmtId="2" fontId="19" fillId="0" borderId="0" xfId="8" applyNumberFormat="1" applyFont="1" applyAlignment="1">
      <alignment vertical="center"/>
    </xf>
    <xf numFmtId="3" fontId="19" fillId="0" borderId="0" xfId="8" applyNumberFormat="1" applyFont="1" applyAlignment="1">
      <alignment horizontal="center" vertical="center"/>
    </xf>
    <xf numFmtId="3" fontId="35" fillId="10" borderId="158" xfId="1" applyNumberFormat="1" applyFont="1" applyFill="1" applyBorder="1" applyAlignment="1">
      <alignment horizontal="right" vertical="center"/>
    </xf>
    <xf numFmtId="3" fontId="35" fillId="10" borderId="224" xfId="1" applyNumberFormat="1" applyFont="1" applyFill="1" applyBorder="1" applyAlignment="1">
      <alignment horizontal="right" vertical="center"/>
    </xf>
    <xf numFmtId="3" fontId="35" fillId="0" borderId="136" xfId="1" applyNumberFormat="1" applyFont="1" applyBorder="1" applyAlignment="1">
      <alignment horizontal="right" vertical="center"/>
    </xf>
    <xf numFmtId="3" fontId="36" fillId="0" borderId="221" xfId="1" applyNumberFormat="1" applyFont="1" applyBorder="1" applyAlignment="1">
      <alignment horizontal="right" vertical="center"/>
    </xf>
    <xf numFmtId="4" fontId="35" fillId="23" borderId="169" xfId="1" applyNumberFormat="1" applyFont="1" applyFill="1" applyBorder="1" applyAlignment="1">
      <alignment horizontal="right" vertical="center"/>
    </xf>
    <xf numFmtId="4" fontId="35" fillId="23" borderId="170" xfId="0" applyNumberFormat="1" applyFont="1" applyFill="1" applyBorder="1" applyAlignment="1">
      <alignment horizontal="right" vertical="center"/>
    </xf>
    <xf numFmtId="4" fontId="35" fillId="12" borderId="173" xfId="8" applyNumberFormat="1" applyFont="1" applyFill="1" applyBorder="1" applyAlignment="1">
      <alignment vertical="center"/>
    </xf>
    <xf numFmtId="3" fontId="36" fillId="0" borderId="223" xfId="1" applyNumberFormat="1" applyFont="1" applyBorder="1" applyAlignment="1">
      <alignment horizontal="right" vertical="center"/>
    </xf>
    <xf numFmtId="4" fontId="36" fillId="0" borderId="150" xfId="1" applyNumberFormat="1" applyFont="1" applyBorder="1" applyAlignment="1" applyProtection="1">
      <alignment horizontal="right" vertical="center"/>
      <protection locked="0"/>
    </xf>
    <xf numFmtId="4" fontId="36" fillId="0" borderId="154" xfId="1" applyNumberFormat="1" applyFont="1" applyBorder="1" applyAlignment="1" applyProtection="1">
      <alignment horizontal="right" vertical="center"/>
      <protection locked="0"/>
    </xf>
    <xf numFmtId="3" fontId="36" fillId="0" borderId="221" xfId="1" quotePrefix="1" applyNumberFormat="1" applyFont="1" applyBorder="1" applyAlignment="1">
      <alignment horizontal="right" vertical="center"/>
    </xf>
    <xf numFmtId="3" fontId="36" fillId="0" borderId="223" xfId="1" quotePrefix="1" applyNumberFormat="1" applyFont="1" applyBorder="1" applyAlignment="1">
      <alignment horizontal="right" vertical="center"/>
    </xf>
    <xf numFmtId="0" fontId="2" fillId="0" borderId="0" xfId="0" applyFont="1"/>
    <xf numFmtId="3" fontId="2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vertical="top"/>
    </xf>
    <xf numFmtId="3" fontId="5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center"/>
    </xf>
    <xf numFmtId="10" fontId="2" fillId="0" borderId="0" xfId="0" applyNumberFormat="1" applyFont="1"/>
    <xf numFmtId="0" fontId="2" fillId="0" borderId="0" xfId="0" applyFont="1" applyAlignment="1">
      <alignment horizontal="left"/>
    </xf>
    <xf numFmtId="172" fontId="19" fillId="0" borderId="0" xfId="0" applyNumberFormat="1" applyFont="1" applyAlignment="1">
      <alignment horizontal="right"/>
    </xf>
    <xf numFmtId="3" fontId="35" fillId="18" borderId="158" xfId="1" applyNumberFormat="1" applyFont="1" applyFill="1" applyBorder="1" applyAlignment="1">
      <alignment horizontal="right" vertical="center"/>
    </xf>
    <xf numFmtId="3" fontId="36" fillId="0" borderId="160" xfId="1" applyNumberFormat="1" applyFont="1" applyBorder="1" applyAlignment="1">
      <alignment horizontal="right" vertical="center"/>
    </xf>
    <xf numFmtId="170" fontId="44" fillId="0" borderId="0" xfId="8" applyNumberFormat="1" applyFont="1"/>
    <xf numFmtId="0" fontId="36" fillId="35" borderId="0" xfId="0" applyFont="1" applyFill="1"/>
    <xf numFmtId="10" fontId="36" fillId="35" borderId="0" xfId="0" applyNumberFormat="1" applyFont="1" applyFill="1" applyAlignment="1">
      <alignment horizontal="center"/>
    </xf>
    <xf numFmtId="10" fontId="36" fillId="36" borderId="0" xfId="0" applyNumberFormat="1" applyFont="1" applyFill="1" applyAlignment="1">
      <alignment horizontal="center"/>
    </xf>
    <xf numFmtId="0" fontId="36" fillId="36" borderId="0" xfId="0" applyFont="1" applyFill="1" applyAlignment="1">
      <alignment horizontal="center"/>
    </xf>
    <xf numFmtId="0" fontId="36" fillId="36" borderId="150" xfId="0" applyFont="1" applyFill="1" applyBorder="1" applyAlignment="1">
      <alignment horizontal="center"/>
    </xf>
    <xf numFmtId="0" fontId="36" fillId="37" borderId="0" xfId="0" applyFont="1" applyFill="1"/>
    <xf numFmtId="10" fontId="36" fillId="34" borderId="0" xfId="0" applyNumberFormat="1" applyFont="1" applyFill="1" applyAlignment="1">
      <alignment horizontal="center"/>
    </xf>
    <xf numFmtId="168" fontId="36" fillId="35" borderId="0" xfId="0" applyNumberFormat="1" applyFont="1" applyFill="1"/>
    <xf numFmtId="168" fontId="36" fillId="36" borderId="0" xfId="0" applyNumberFormat="1" applyFont="1" applyFill="1"/>
    <xf numFmtId="168" fontId="36" fillId="37" borderId="0" xfId="0" applyNumberFormat="1" applyFont="1" applyFill="1"/>
    <xf numFmtId="168" fontId="36" fillId="34" borderId="0" xfId="0" applyNumberFormat="1" applyFont="1" applyFill="1"/>
    <xf numFmtId="168" fontId="36" fillId="38" borderId="0" xfId="0" applyNumberFormat="1" applyFont="1" applyFill="1"/>
    <xf numFmtId="10" fontId="36" fillId="38" borderId="0" xfId="0" applyNumberFormat="1" applyFont="1" applyFill="1" applyAlignment="1">
      <alignment horizontal="center"/>
    </xf>
    <xf numFmtId="168" fontId="36" fillId="36" borderId="0" xfId="0" applyNumberFormat="1" applyFont="1" applyFill="1" applyAlignment="1">
      <alignment horizontal="right"/>
    </xf>
    <xf numFmtId="0" fontId="29" fillId="0" borderId="0" xfId="8" applyFont="1" applyAlignment="1">
      <alignment vertical="center"/>
    </xf>
    <xf numFmtId="0" fontId="29" fillId="0" borderId="0" xfId="7" applyFont="1" applyAlignment="1">
      <alignment horizontal="center" vertical="center"/>
    </xf>
    <xf numFmtId="0" fontId="29" fillId="0" borderId="0" xfId="7" applyFont="1" applyAlignment="1">
      <alignment horizontal="left" vertical="center"/>
    </xf>
    <xf numFmtId="10" fontId="29" fillId="0" borderId="0" xfId="7" applyNumberFormat="1" applyFont="1" applyAlignment="1">
      <alignment horizontal="left" vertical="center"/>
    </xf>
    <xf numFmtId="0" fontId="4" fillId="0" borderId="0" xfId="7" applyFont="1" applyAlignment="1">
      <alignment horizontal="center" vertical="center"/>
    </xf>
    <xf numFmtId="167" fontId="4" fillId="0" borderId="0" xfId="8" applyNumberFormat="1" applyFont="1" applyAlignment="1">
      <alignment horizontal="center" vertical="center"/>
    </xf>
    <xf numFmtId="165" fontId="29" fillId="0" borderId="0" xfId="7" applyNumberFormat="1" applyFont="1" applyAlignment="1">
      <alignment horizontal="left" vertical="center"/>
    </xf>
    <xf numFmtId="10" fontId="29" fillId="0" borderId="0" xfId="8" applyNumberFormat="1" applyFont="1" applyAlignment="1">
      <alignment horizontal="left" vertical="center"/>
    </xf>
    <xf numFmtId="2" fontId="4" fillId="0" borderId="0" xfId="8" applyNumberFormat="1" applyFont="1" applyAlignment="1">
      <alignment horizontal="center" vertical="center"/>
    </xf>
    <xf numFmtId="167" fontId="29" fillId="0" borderId="0" xfId="8" applyNumberFormat="1" applyFont="1" applyAlignment="1">
      <alignment vertical="center"/>
    </xf>
    <xf numFmtId="37" fontId="4" fillId="0" borderId="0" xfId="1" applyFont="1" applyAlignment="1">
      <alignment vertical="center"/>
    </xf>
    <xf numFmtId="37" fontId="29" fillId="0" borderId="0" xfId="1" applyFont="1" applyAlignment="1">
      <alignment horizontal="left" vertical="center"/>
    </xf>
    <xf numFmtId="166" fontId="29" fillId="0" borderId="0" xfId="8" applyNumberFormat="1" applyFont="1" applyAlignment="1">
      <alignment vertical="center"/>
    </xf>
    <xf numFmtId="166" fontId="4" fillId="0" borderId="0" xfId="8" applyNumberFormat="1" applyFont="1" applyAlignment="1">
      <alignment vertical="center"/>
    </xf>
    <xf numFmtId="175" fontId="45" fillId="0" borderId="0" xfId="1" applyNumberFormat="1" applyFont="1" applyAlignment="1">
      <alignment horizontal="center" vertical="center"/>
    </xf>
    <xf numFmtId="37" fontId="45" fillId="0" borderId="0" xfId="1" applyFont="1" applyAlignment="1">
      <alignment horizontal="center" vertical="center"/>
    </xf>
    <xf numFmtId="37" fontId="45" fillId="0" borderId="0" xfId="1" applyFont="1" applyAlignment="1">
      <alignment vertical="center"/>
    </xf>
    <xf numFmtId="9" fontId="29" fillId="0" borderId="0" xfId="1" applyNumberFormat="1" applyFont="1" applyAlignment="1">
      <alignment horizontal="left" vertical="center"/>
    </xf>
    <xf numFmtId="37" fontId="29" fillId="0" borderId="0" xfId="8" applyNumberFormat="1" applyFont="1" applyAlignment="1">
      <alignment vertical="center"/>
    </xf>
    <xf numFmtId="37" fontId="29" fillId="0" borderId="0" xfId="1" applyFont="1" applyAlignment="1">
      <alignment vertical="center"/>
    </xf>
    <xf numFmtId="10" fontId="4" fillId="0" borderId="0" xfId="1" applyNumberFormat="1" applyFont="1" applyAlignment="1">
      <alignment vertical="center"/>
    </xf>
    <xf numFmtId="10" fontId="29" fillId="0" borderId="0" xfId="1" applyNumberFormat="1" applyFont="1" applyAlignment="1">
      <alignment horizontal="left" vertical="center"/>
    </xf>
    <xf numFmtId="0" fontId="4" fillId="0" borderId="211" xfId="8" applyFont="1" applyBorder="1"/>
    <xf numFmtId="0" fontId="4" fillId="0" borderId="212" xfId="8" applyFont="1" applyBorder="1"/>
    <xf numFmtId="0" fontId="4" fillId="0" borderId="213" xfId="8" applyFont="1" applyBorder="1"/>
    <xf numFmtId="0" fontId="4" fillId="0" borderId="214" xfId="8" applyFont="1" applyBorder="1"/>
    <xf numFmtId="37" fontId="4" fillId="0" borderId="212" xfId="8" applyNumberFormat="1" applyFont="1" applyBorder="1"/>
    <xf numFmtId="37" fontId="4" fillId="0" borderId="215" xfId="8" applyNumberFormat="1" applyFont="1" applyBorder="1"/>
    <xf numFmtId="37" fontId="4" fillId="0" borderId="216" xfId="8" applyNumberFormat="1" applyFont="1" applyBorder="1"/>
    <xf numFmtId="0" fontId="29" fillId="0" borderId="0" xfId="8" applyFont="1"/>
    <xf numFmtId="167" fontId="29" fillId="0" borderId="0" xfId="8" applyNumberFormat="1" applyFont="1"/>
    <xf numFmtId="0" fontId="29" fillId="0" borderId="57" xfId="8" applyFont="1" applyBorder="1"/>
    <xf numFmtId="37" fontId="4" fillId="0" borderId="0" xfId="8" applyNumberFormat="1" applyFont="1"/>
    <xf numFmtId="10" fontId="29" fillId="0" borderId="0" xfId="8" applyNumberFormat="1" applyFont="1" applyAlignment="1">
      <alignment horizontal="left"/>
    </xf>
    <xf numFmtId="166" fontId="29" fillId="0" borderId="0" xfId="8" applyNumberFormat="1" applyFont="1"/>
    <xf numFmtId="4" fontId="29" fillId="19" borderId="0" xfId="0" applyNumberFormat="1" applyFont="1" applyFill="1"/>
    <xf numFmtId="0" fontId="4" fillId="0" borderId="0" xfId="8" applyFont="1"/>
    <xf numFmtId="3" fontId="29" fillId="0" borderId="0" xfId="8" applyNumberFormat="1" applyFont="1"/>
    <xf numFmtId="37" fontId="29" fillId="0" borderId="0" xfId="8" applyNumberFormat="1" applyFont="1"/>
    <xf numFmtId="10" fontId="29" fillId="0" borderId="0" xfId="8" applyNumberFormat="1" applyFont="1"/>
    <xf numFmtId="0" fontId="29" fillId="0" borderId="0" xfId="8" applyFont="1" applyAlignment="1">
      <alignment horizontal="left"/>
    </xf>
    <xf numFmtId="0" fontId="29" fillId="0" borderId="162" xfId="8" applyFont="1" applyBorder="1"/>
    <xf numFmtId="0" fontId="29" fillId="11" borderId="163" xfId="8" applyFont="1" applyFill="1" applyBorder="1"/>
    <xf numFmtId="0" fontId="29" fillId="0" borderId="149" xfId="8" applyFont="1" applyBorder="1"/>
    <xf numFmtId="0" fontId="29" fillId="0" borderId="161" xfId="8" applyFont="1" applyBorder="1"/>
    <xf numFmtId="10" fontId="36" fillId="39" borderId="0" xfId="0" applyNumberFormat="1" applyFont="1" applyFill="1" applyAlignment="1">
      <alignment horizontal="center"/>
    </xf>
    <xf numFmtId="10" fontId="36" fillId="35" borderId="0" xfId="0" applyNumberFormat="1" applyFont="1" applyFill="1"/>
    <xf numFmtId="10" fontId="35" fillId="0" borderId="0" xfId="0" applyNumberFormat="1" applyFont="1"/>
    <xf numFmtId="10" fontId="36" fillId="37" borderId="150" xfId="0" applyNumberFormat="1" applyFont="1" applyFill="1" applyBorder="1" applyAlignment="1">
      <alignment horizontal="center"/>
    </xf>
    <xf numFmtId="10" fontId="41" fillId="0" borderId="0" xfId="0" applyNumberFormat="1" applyFont="1"/>
    <xf numFmtId="10" fontId="36" fillId="38" borderId="239" xfId="0" applyNumberFormat="1" applyFont="1" applyFill="1" applyBorder="1" applyAlignment="1">
      <alignment horizontal="center"/>
    </xf>
    <xf numFmtId="169" fontId="36" fillId="40" borderId="0" xfId="0" applyNumberFormat="1" applyFont="1" applyFill="1" applyAlignment="1">
      <alignment horizontal="right"/>
    </xf>
    <xf numFmtId="0" fontId="22" fillId="0" borderId="0" xfId="8" applyFont="1" applyAlignment="1">
      <alignment horizontal="center" vertical="center"/>
    </xf>
    <xf numFmtId="0" fontId="22" fillId="0" borderId="0" xfId="8" applyFont="1" applyAlignment="1">
      <alignment vertical="center"/>
    </xf>
    <xf numFmtId="3" fontId="22" fillId="0" borderId="0" xfId="8" applyNumberFormat="1" applyFont="1" applyAlignment="1">
      <alignment vertical="center"/>
    </xf>
    <xf numFmtId="2" fontId="23" fillId="0" borderId="0" xfId="8" applyNumberFormat="1" applyFont="1" applyAlignment="1">
      <alignment vertical="center"/>
    </xf>
    <xf numFmtId="3" fontId="23" fillId="0" borderId="0" xfId="8" applyNumberFormat="1" applyFont="1" applyAlignment="1">
      <alignment horizontal="center" vertical="center"/>
    </xf>
    <xf numFmtId="10" fontId="36" fillId="0" borderId="0" xfId="0" applyNumberFormat="1" applyFont="1" applyAlignment="1">
      <alignment horizontal="right"/>
    </xf>
    <xf numFmtId="3" fontId="36" fillId="42" borderId="167" xfId="1" applyNumberFormat="1" applyFont="1" applyFill="1" applyBorder="1" applyAlignment="1" applyProtection="1">
      <alignment horizontal="center" vertical="center"/>
      <protection locked="0"/>
    </xf>
    <xf numFmtId="4" fontId="36" fillId="42" borderId="167" xfId="1" applyNumberFormat="1" applyFont="1" applyFill="1" applyBorder="1" applyAlignment="1" applyProtection="1">
      <alignment horizontal="right" vertical="center"/>
      <protection locked="0"/>
    </xf>
    <xf numFmtId="3" fontId="36" fillId="42" borderId="164" xfId="1" applyNumberFormat="1" applyFont="1" applyFill="1" applyBorder="1" applyAlignment="1" applyProtection="1">
      <alignment horizontal="center" vertical="center"/>
      <protection locked="0"/>
    </xf>
    <xf numFmtId="3" fontId="36" fillId="42" borderId="170" xfId="1" applyNumberFormat="1" applyFont="1" applyFill="1" applyBorder="1" applyAlignment="1" applyProtection="1">
      <alignment horizontal="center" vertical="center"/>
      <protection locked="0"/>
    </xf>
    <xf numFmtId="4" fontId="35" fillId="43" borderId="170" xfId="0" applyNumberFormat="1" applyFont="1" applyFill="1" applyBorder="1" applyAlignment="1">
      <alignment horizontal="right" vertical="center"/>
    </xf>
    <xf numFmtId="3" fontId="36" fillId="42" borderId="144" xfId="1" applyNumberFormat="1" applyFont="1" applyFill="1" applyBorder="1" applyAlignment="1" applyProtection="1">
      <alignment horizontal="center" vertical="center"/>
      <protection locked="0"/>
    </xf>
    <xf numFmtId="3" fontId="36" fillId="42" borderId="0" xfId="1" applyNumberFormat="1" applyFont="1" applyFill="1" applyAlignment="1" applyProtection="1">
      <alignment horizontal="center" vertical="center"/>
      <protection locked="0"/>
    </xf>
    <xf numFmtId="4" fontId="36" fillId="42" borderId="0" xfId="1" applyNumberFormat="1" applyFont="1" applyFill="1" applyAlignment="1">
      <alignment horizontal="right" vertical="center"/>
    </xf>
    <xf numFmtId="3" fontId="36" fillId="42" borderId="151" xfId="1" applyNumberFormat="1" applyFont="1" applyFill="1" applyBorder="1" applyAlignment="1" applyProtection="1">
      <alignment horizontal="center" vertical="center"/>
      <protection locked="0"/>
    </xf>
    <xf numFmtId="4" fontId="35" fillId="42" borderId="170" xfId="1" applyNumberFormat="1" applyFont="1" applyFill="1" applyBorder="1" applyAlignment="1">
      <alignment horizontal="right" vertical="center"/>
    </xf>
    <xf numFmtId="3" fontId="36" fillId="42" borderId="169" xfId="1" applyNumberFormat="1" applyFont="1" applyFill="1" applyBorder="1" applyAlignment="1" applyProtection="1">
      <alignment horizontal="center" vertical="center"/>
      <protection locked="0"/>
    </xf>
    <xf numFmtId="4" fontId="36" fillId="42" borderId="169" xfId="1" applyNumberFormat="1" applyFont="1" applyFill="1" applyBorder="1" applyAlignment="1">
      <alignment horizontal="right" vertical="center"/>
    </xf>
    <xf numFmtId="3" fontId="36" fillId="42" borderId="147" xfId="1" applyNumberFormat="1" applyFont="1" applyFill="1" applyBorder="1" applyAlignment="1" applyProtection="1">
      <alignment horizontal="center" vertical="center"/>
      <protection locked="0"/>
    </xf>
    <xf numFmtId="3" fontId="36" fillId="42" borderId="92" xfId="0" applyNumberFormat="1" applyFont="1" applyFill="1" applyBorder="1" applyAlignment="1" applyProtection="1">
      <alignment horizontal="center" vertical="center"/>
      <protection locked="0"/>
    </xf>
    <xf numFmtId="4" fontId="36" fillId="42" borderId="92" xfId="1" applyNumberFormat="1" applyFont="1" applyFill="1" applyBorder="1" applyAlignment="1">
      <alignment horizontal="right" vertical="center"/>
    </xf>
    <xf numFmtId="3" fontId="36" fillId="42" borderId="155" xfId="0" applyNumberFormat="1" applyFont="1" applyFill="1" applyBorder="1" applyAlignment="1" applyProtection="1">
      <alignment horizontal="center" vertical="center"/>
      <protection locked="0"/>
    </xf>
    <xf numFmtId="3" fontId="35" fillId="42" borderId="170" xfId="0" applyNumberFormat="1" applyFont="1" applyFill="1" applyBorder="1" applyAlignment="1" applyProtection="1">
      <alignment horizontal="center" vertical="center"/>
      <protection locked="0"/>
    </xf>
    <xf numFmtId="3" fontId="35" fillId="42" borderId="144" xfId="0" applyNumberFormat="1" applyFont="1" applyFill="1" applyBorder="1" applyAlignment="1" applyProtection="1">
      <alignment horizontal="center" vertical="center"/>
      <protection locked="0"/>
    </xf>
    <xf numFmtId="3" fontId="35" fillId="42" borderId="0" xfId="0" applyNumberFormat="1" applyFont="1" applyFill="1" applyAlignment="1" applyProtection="1">
      <alignment horizontal="center" vertical="center"/>
      <protection locked="0"/>
    </xf>
    <xf numFmtId="3" fontId="35" fillId="42" borderId="151" xfId="0" applyNumberFormat="1" applyFont="1" applyFill="1" applyBorder="1" applyAlignment="1" applyProtection="1">
      <alignment horizontal="center" vertical="center"/>
      <protection locked="0"/>
    </xf>
    <xf numFmtId="4" fontId="36" fillId="43" borderId="0" xfId="0" applyNumberFormat="1" applyFont="1" applyFill="1" applyAlignment="1">
      <alignment horizontal="right" vertical="center"/>
    </xf>
    <xf numFmtId="3" fontId="35" fillId="42" borderId="92" xfId="0" applyNumberFormat="1" applyFont="1" applyFill="1" applyBorder="1" applyAlignment="1" applyProtection="1">
      <alignment horizontal="center" vertical="center"/>
      <protection locked="0"/>
    </xf>
    <xf numFmtId="4" fontId="36" fillId="43" borderId="92" xfId="0" applyNumberFormat="1" applyFont="1" applyFill="1" applyBorder="1" applyAlignment="1">
      <alignment horizontal="right" vertical="center"/>
    </xf>
    <xf numFmtId="3" fontId="35" fillId="42" borderId="155" xfId="0" applyNumberFormat="1" applyFont="1" applyFill="1" applyBorder="1" applyAlignment="1" applyProtection="1">
      <alignment horizontal="center" vertical="center"/>
      <protection locked="0"/>
    </xf>
    <xf numFmtId="4" fontId="35" fillId="42" borderId="169" xfId="1" applyNumberFormat="1" applyFont="1" applyFill="1" applyBorder="1" applyAlignment="1">
      <alignment horizontal="right" vertical="center"/>
    </xf>
    <xf numFmtId="3" fontId="36" fillId="42" borderId="92" xfId="1" applyNumberFormat="1" applyFont="1" applyFill="1" applyBorder="1" applyAlignment="1" applyProtection="1">
      <alignment horizontal="center" vertical="center"/>
      <protection locked="0"/>
    </xf>
    <xf numFmtId="3" fontId="36" fillId="42" borderId="155" xfId="1" applyNumberFormat="1" applyFont="1" applyFill="1" applyBorder="1" applyAlignment="1" applyProtection="1">
      <alignment horizontal="center" vertical="center"/>
      <protection locked="0"/>
    </xf>
    <xf numFmtId="3" fontId="35" fillId="42" borderId="170" xfId="1" applyNumberFormat="1" applyFont="1" applyFill="1" applyBorder="1" applyAlignment="1" applyProtection="1">
      <alignment horizontal="center" vertical="center"/>
      <protection locked="0"/>
    </xf>
    <xf numFmtId="3" fontId="35" fillId="42" borderId="144" xfId="1" applyNumberFormat="1" applyFont="1" applyFill="1" applyBorder="1" applyAlignment="1" applyProtection="1">
      <alignment horizontal="center" vertical="center"/>
      <protection locked="0"/>
    </xf>
    <xf numFmtId="3" fontId="35" fillId="42" borderId="0" xfId="1" applyNumberFormat="1" applyFont="1" applyFill="1" applyAlignment="1" applyProtection="1">
      <alignment horizontal="center" vertical="center"/>
      <protection locked="0"/>
    </xf>
    <xf numFmtId="3" fontId="35" fillId="42" borderId="151" xfId="1" applyNumberFormat="1" applyFont="1" applyFill="1" applyBorder="1" applyAlignment="1" applyProtection="1">
      <alignment horizontal="center" vertical="center"/>
      <protection locked="0"/>
    </xf>
    <xf numFmtId="3" fontId="36" fillId="42" borderId="0" xfId="8" applyNumberFormat="1" applyFont="1" applyFill="1" applyAlignment="1">
      <alignment horizontal="center"/>
    </xf>
    <xf numFmtId="3" fontId="36" fillId="42" borderId="151" xfId="8" applyNumberFormat="1" applyFont="1" applyFill="1" applyBorder="1" applyAlignment="1">
      <alignment horizontal="center"/>
    </xf>
    <xf numFmtId="0" fontId="36" fillId="0" borderId="170" xfId="0" applyFont="1" applyBorder="1"/>
    <xf numFmtId="10" fontId="36" fillId="34" borderId="150" xfId="0" applyNumberFormat="1" applyFont="1" applyFill="1" applyBorder="1" applyAlignment="1">
      <alignment horizontal="center"/>
    </xf>
    <xf numFmtId="166" fontId="36" fillId="40" borderId="0" xfId="0" applyNumberFormat="1" applyFont="1" applyFill="1"/>
    <xf numFmtId="0" fontId="35" fillId="0" borderId="0" xfId="0" applyFont="1" applyAlignment="1">
      <alignment horizontal="right"/>
    </xf>
    <xf numFmtId="0" fontId="36" fillId="0" borderId="0" xfId="0" applyFont="1" applyAlignment="1">
      <alignment horizontal="right"/>
    </xf>
    <xf numFmtId="4" fontId="36" fillId="0" borderId="0" xfId="8" applyNumberFormat="1" applyFont="1"/>
    <xf numFmtId="4" fontId="36" fillId="0" borderId="0" xfId="0" quotePrefix="1" applyNumberFormat="1" applyFont="1"/>
    <xf numFmtId="3" fontId="35" fillId="0" borderId="221" xfId="1" applyNumberFormat="1" applyFont="1" applyBorder="1" applyAlignment="1">
      <alignment horizontal="right" vertical="center"/>
    </xf>
    <xf numFmtId="37" fontId="48" fillId="0" borderId="140" xfId="1" applyFont="1" applyBorder="1" applyAlignment="1">
      <alignment vertical="center"/>
    </xf>
    <xf numFmtId="37" fontId="50" fillId="0" borderId="234" xfId="1" applyFont="1" applyBorder="1" applyAlignment="1">
      <alignment horizontal="right" vertical="center"/>
    </xf>
    <xf numFmtId="37" fontId="50" fillId="0" borderId="167" xfId="1" applyFont="1" applyBorder="1" applyAlignment="1">
      <alignment horizontal="right" vertical="center"/>
    </xf>
    <xf numFmtId="37" fontId="50" fillId="0" borderId="229" xfId="1" applyFont="1" applyBorder="1" applyAlignment="1">
      <alignment horizontal="right" vertical="center"/>
    </xf>
    <xf numFmtId="37" fontId="50" fillId="0" borderId="204" xfId="1" applyFont="1" applyBorder="1" applyAlignment="1">
      <alignment horizontal="right" vertical="center"/>
    </xf>
    <xf numFmtId="37" fontId="50" fillId="0" borderId="182" xfId="1" applyFont="1" applyBorder="1" applyAlignment="1">
      <alignment horizontal="right" vertical="center"/>
    </xf>
    <xf numFmtId="37" fontId="50" fillId="0" borderId="25" xfId="7" applyNumberFormat="1" applyFont="1" applyBorder="1" applyAlignment="1">
      <alignment vertical="center"/>
    </xf>
    <xf numFmtId="37" fontId="50" fillId="0" borderId="183" xfId="7" applyNumberFormat="1" applyFont="1" applyBorder="1" applyAlignment="1">
      <alignment vertical="center"/>
    </xf>
    <xf numFmtId="37" fontId="48" fillId="0" borderId="148" xfId="1" applyFont="1" applyBorder="1" applyAlignment="1">
      <alignment vertical="center"/>
    </xf>
    <xf numFmtId="37" fontId="50" fillId="0" borderId="235" xfId="1" applyFont="1" applyBorder="1" applyAlignment="1">
      <alignment horizontal="right" vertical="center"/>
    </xf>
    <xf numFmtId="37" fontId="50" fillId="0" borderId="0" xfId="1" applyFont="1" applyAlignment="1">
      <alignment horizontal="right" vertical="center"/>
    </xf>
    <xf numFmtId="37" fontId="50" fillId="0" borderId="231" xfId="1" applyFont="1" applyBorder="1" applyAlignment="1">
      <alignment horizontal="right" vertical="center"/>
    </xf>
    <xf numFmtId="37" fontId="50" fillId="0" borderId="206" xfId="1" applyFont="1" applyBorder="1" applyAlignment="1">
      <alignment horizontal="right" vertical="center"/>
    </xf>
    <xf numFmtId="37" fontId="50" fillId="0" borderId="25" xfId="1" applyFont="1" applyBorder="1" applyAlignment="1">
      <alignment horizontal="right" vertical="center"/>
    </xf>
    <xf numFmtId="37" fontId="50" fillId="0" borderId="183" xfId="1" applyFont="1" applyBorder="1" applyAlignment="1">
      <alignment horizontal="right" vertical="center"/>
    </xf>
    <xf numFmtId="37" fontId="48" fillId="0" borderId="156" xfId="1" applyFont="1" applyBorder="1" applyAlignment="1">
      <alignment vertical="center"/>
    </xf>
    <xf numFmtId="37" fontId="50" fillId="0" borderId="236" xfId="1" applyFont="1" applyBorder="1" applyAlignment="1">
      <alignment horizontal="right" vertical="center"/>
    </xf>
    <xf numFmtId="37" fontId="50" fillId="0" borderId="169" xfId="1" applyFont="1" applyBorder="1" applyAlignment="1">
      <alignment horizontal="right" vertical="center"/>
    </xf>
    <xf numFmtId="37" fontId="50" fillId="0" borderId="232" xfId="1" applyFont="1" applyBorder="1" applyAlignment="1">
      <alignment horizontal="right" vertical="center"/>
    </xf>
    <xf numFmtId="37" fontId="50" fillId="0" borderId="207" xfId="1" applyFont="1" applyBorder="1" applyAlignment="1">
      <alignment horizontal="right" vertical="center"/>
    </xf>
    <xf numFmtId="37" fontId="50" fillId="21" borderId="227" xfId="1" applyFont="1" applyFill="1" applyBorder="1" applyAlignment="1">
      <alignment horizontal="right" vertical="center"/>
    </xf>
    <xf numFmtId="37" fontId="50" fillId="21" borderId="169" xfId="1" applyFont="1" applyFill="1" applyBorder="1" applyAlignment="1">
      <alignment horizontal="right" vertical="center"/>
    </xf>
    <xf numFmtId="0" fontId="50" fillId="20" borderId="169" xfId="8" applyFont="1" applyFill="1" applyBorder="1" applyAlignment="1">
      <alignment vertical="center"/>
    </xf>
    <xf numFmtId="37" fontId="48" fillId="21" borderId="169" xfId="1" applyFont="1" applyFill="1" applyBorder="1" applyAlignment="1">
      <alignment horizontal="center"/>
    </xf>
    <xf numFmtId="0" fontId="50" fillId="21" borderId="169" xfId="0" applyFont="1" applyFill="1" applyBorder="1"/>
    <xf numFmtId="0" fontId="48" fillId="20" borderId="169" xfId="0" applyFont="1" applyFill="1" applyBorder="1" applyAlignment="1">
      <alignment horizontal="center"/>
    </xf>
    <xf numFmtId="0" fontId="50" fillId="21" borderId="169" xfId="0" applyFont="1" applyFill="1" applyBorder="1" applyAlignment="1">
      <alignment horizontal="center"/>
    </xf>
    <xf numFmtId="37" fontId="48" fillId="0" borderId="138" xfId="1" applyFont="1" applyBorder="1" applyAlignment="1">
      <alignment vertical="center"/>
    </xf>
    <xf numFmtId="37" fontId="50" fillId="0" borderId="237" xfId="1" applyFont="1" applyBorder="1" applyAlignment="1">
      <alignment horizontal="right" vertical="center"/>
    </xf>
    <xf numFmtId="37" fontId="50" fillId="0" borderId="170" xfId="1" applyFont="1" applyBorder="1" applyAlignment="1">
      <alignment horizontal="right" vertical="center"/>
    </xf>
    <xf numFmtId="37" fontId="50" fillId="0" borderId="217" xfId="1" applyFont="1" applyBorder="1" applyAlignment="1">
      <alignment horizontal="right" vertical="center"/>
    </xf>
    <xf numFmtId="37" fontId="50" fillId="0" borderId="208" xfId="1" applyFont="1" applyBorder="1" applyAlignment="1">
      <alignment horizontal="right" vertical="center"/>
    </xf>
    <xf numFmtId="37" fontId="50" fillId="21" borderId="228" xfId="1" applyFont="1" applyFill="1" applyBorder="1" applyAlignment="1">
      <alignment horizontal="right" vertical="center"/>
    </xf>
    <xf numFmtId="37" fontId="50" fillId="21" borderId="170" xfId="1" applyFont="1" applyFill="1" applyBorder="1" applyAlignment="1">
      <alignment horizontal="right" vertical="center"/>
    </xf>
    <xf numFmtId="37" fontId="51" fillId="21" borderId="170" xfId="1" applyFont="1" applyFill="1" applyBorder="1" applyAlignment="1">
      <alignment horizontal="center" vertical="center"/>
    </xf>
    <xf numFmtId="37" fontId="50" fillId="0" borderId="184" xfId="1" applyFont="1" applyBorder="1" applyAlignment="1">
      <alignment horizontal="right" vertical="center"/>
    </xf>
    <xf numFmtId="37" fontId="50" fillId="0" borderId="185" xfId="1" applyFont="1" applyBorder="1" applyAlignment="1">
      <alignment horizontal="right" vertical="center"/>
    </xf>
    <xf numFmtId="37" fontId="50" fillId="0" borderId="186" xfId="1" quotePrefix="1" applyFont="1" applyBorder="1" applyAlignment="1">
      <alignment horizontal="right" vertical="center"/>
    </xf>
    <xf numFmtId="37" fontId="50" fillId="0" borderId="187" xfId="1" quotePrefix="1" applyFont="1" applyBorder="1" applyAlignment="1">
      <alignment horizontal="right" vertical="center"/>
    </xf>
    <xf numFmtId="37" fontId="50" fillId="0" borderId="186" xfId="1" applyFont="1" applyBorder="1" applyAlignment="1">
      <alignment horizontal="right" vertical="center"/>
    </xf>
    <xf numFmtId="37" fontId="50" fillId="0" borderId="187" xfId="1" applyFont="1" applyBorder="1" applyAlignment="1">
      <alignment horizontal="right" vertical="center"/>
    </xf>
    <xf numFmtId="0" fontId="50" fillId="0" borderId="0" xfId="8" applyFont="1" applyAlignment="1">
      <alignment vertical="center"/>
    </xf>
    <xf numFmtId="0" fontId="50" fillId="0" borderId="169" xfId="0" applyFont="1" applyBorder="1" applyAlignment="1">
      <alignment vertical="center"/>
    </xf>
    <xf numFmtId="0" fontId="50" fillId="20" borderId="169" xfId="0" applyFont="1" applyFill="1" applyBorder="1" applyAlignment="1">
      <alignment vertical="center"/>
    </xf>
    <xf numFmtId="0" fontId="50" fillId="21" borderId="169" xfId="0" applyFont="1" applyFill="1" applyBorder="1" applyAlignment="1">
      <alignment vertical="center"/>
    </xf>
    <xf numFmtId="0" fontId="48" fillId="20" borderId="169" xfId="0" applyFont="1" applyFill="1" applyBorder="1" applyAlignment="1">
      <alignment horizontal="center" vertical="center"/>
    </xf>
    <xf numFmtId="0" fontId="50" fillId="21" borderId="169" xfId="0" applyFont="1" applyFill="1" applyBorder="1" applyAlignment="1">
      <alignment horizontal="center" vertical="center"/>
    </xf>
    <xf numFmtId="38" fontId="50" fillId="21" borderId="170" xfId="8" applyNumberFormat="1" applyFont="1" applyFill="1" applyBorder="1" applyAlignment="1">
      <alignment horizontal="right" vertical="center"/>
    </xf>
    <xf numFmtId="38" fontId="50" fillId="0" borderId="0" xfId="8" applyNumberFormat="1" applyFont="1" applyAlignment="1">
      <alignment horizontal="right" vertical="center"/>
    </xf>
    <xf numFmtId="37" fontId="50" fillId="0" borderId="218" xfId="1" applyFont="1" applyBorder="1" applyAlignment="1">
      <alignment horizontal="right" vertical="center"/>
    </xf>
    <xf numFmtId="37" fontId="50" fillId="0" borderId="225" xfId="1" applyFont="1" applyBorder="1" applyAlignment="1">
      <alignment horizontal="right" vertical="center"/>
    </xf>
    <xf numFmtId="37" fontId="50" fillId="0" borderId="0" xfId="1" quotePrefix="1" applyFont="1" applyAlignment="1">
      <alignment horizontal="right" vertical="center"/>
    </xf>
    <xf numFmtId="37" fontId="50" fillId="0" borderId="231" xfId="1" quotePrefix="1" applyFont="1" applyBorder="1" applyAlignment="1">
      <alignment horizontal="right" vertical="center"/>
    </xf>
    <xf numFmtId="37" fontId="50" fillId="0" borderId="188" xfId="1" quotePrefix="1" applyFont="1" applyBorder="1" applyAlignment="1">
      <alignment horizontal="right" vertical="center"/>
    </xf>
    <xf numFmtId="37" fontId="50" fillId="0" borderId="25" xfId="1" quotePrefix="1" applyFont="1" applyBorder="1" applyAlignment="1">
      <alignment horizontal="right" vertical="center"/>
    </xf>
    <xf numFmtId="37" fontId="50" fillId="0" borderId="226" xfId="1" quotePrefix="1" applyFont="1" applyBorder="1" applyAlignment="1">
      <alignment horizontal="right" vertical="center"/>
    </xf>
    <xf numFmtId="37" fontId="50" fillId="0" borderId="170" xfId="1" quotePrefix="1" applyFont="1" applyBorder="1" applyAlignment="1">
      <alignment horizontal="right" vertical="center"/>
    </xf>
    <xf numFmtId="37" fontId="50" fillId="0" borderId="217" xfId="1" quotePrefix="1" applyFont="1" applyBorder="1" applyAlignment="1">
      <alignment horizontal="right" vertical="center"/>
    </xf>
    <xf numFmtId="37" fontId="50" fillId="0" borderId="203" xfId="1" quotePrefix="1" applyFont="1" applyBorder="1" applyAlignment="1">
      <alignment horizontal="right" vertical="center"/>
    </xf>
    <xf numFmtId="0" fontId="50" fillId="21" borderId="170" xfId="0" applyFont="1" applyFill="1" applyBorder="1" applyAlignment="1">
      <alignment horizontal="right" vertical="center"/>
    </xf>
    <xf numFmtId="0" fontId="50" fillId="0" borderId="184" xfId="8" applyFont="1" applyBorder="1" applyAlignment="1">
      <alignment vertical="center"/>
    </xf>
    <xf numFmtId="0" fontId="50" fillId="0" borderId="184" xfId="8" applyFont="1" applyBorder="1" applyAlignment="1">
      <alignment horizontal="right" vertical="center"/>
    </xf>
    <xf numFmtId="37" fontId="50" fillId="0" borderId="184" xfId="8" applyNumberFormat="1" applyFont="1" applyBorder="1" applyAlignment="1">
      <alignment horizontal="right" vertical="center"/>
    </xf>
    <xf numFmtId="37" fontId="50" fillId="0" borderId="169" xfId="8" applyNumberFormat="1" applyFont="1" applyBorder="1" applyAlignment="1">
      <alignment horizontal="right" vertical="center"/>
    </xf>
    <xf numFmtId="37" fontId="50" fillId="0" borderId="184" xfId="1" applyFont="1" applyBorder="1" applyAlignment="1">
      <alignment horizontal="center" vertical="center"/>
    </xf>
    <xf numFmtId="37" fontId="50" fillId="0" borderId="183" xfId="1" quotePrefix="1" applyFont="1" applyBorder="1" applyAlignment="1">
      <alignment horizontal="right" vertical="center"/>
    </xf>
    <xf numFmtId="0" fontId="50" fillId="21" borderId="0" xfId="8" applyFont="1" applyFill="1" applyAlignment="1">
      <alignment vertical="center"/>
    </xf>
    <xf numFmtId="37" fontId="48" fillId="0" borderId="152" xfId="1" applyFont="1" applyBorder="1" applyAlignment="1">
      <alignment vertical="center"/>
    </xf>
    <xf numFmtId="37" fontId="50" fillId="0" borderId="238" xfId="1" applyFont="1" applyBorder="1" applyAlignment="1">
      <alignment horizontal="right" vertical="center"/>
    </xf>
    <xf numFmtId="37" fontId="50" fillId="0" borderId="92" xfId="1" applyFont="1" applyBorder="1" applyAlignment="1">
      <alignment horizontal="right" vertical="center"/>
    </xf>
    <xf numFmtId="37" fontId="50" fillId="0" borderId="233" xfId="1" applyFont="1" applyBorder="1" applyAlignment="1">
      <alignment horizontal="right" vertical="center"/>
    </xf>
    <xf numFmtId="37" fontId="50" fillId="0" borderId="209" xfId="1" applyFont="1" applyBorder="1" applyAlignment="1">
      <alignment horizontal="right" vertical="center"/>
    </xf>
    <xf numFmtId="37" fontId="51" fillId="21" borderId="92" xfId="1" applyFont="1" applyFill="1" applyBorder="1" applyAlignment="1">
      <alignment horizontal="center" vertical="center"/>
    </xf>
    <xf numFmtId="37" fontId="51" fillId="22" borderId="92" xfId="1" applyFont="1" applyFill="1" applyBorder="1" applyAlignment="1">
      <alignment horizontal="center" vertical="center"/>
    </xf>
    <xf numFmtId="37" fontId="52" fillId="22" borderId="92" xfId="1" applyFont="1" applyFill="1" applyBorder="1" applyAlignment="1">
      <alignment horizontal="center" vertical="center"/>
    </xf>
    <xf numFmtId="37" fontId="48" fillId="28" borderId="174" xfId="1" applyFont="1" applyFill="1" applyBorder="1" applyAlignment="1">
      <alignment horizontal="right" vertical="center"/>
    </xf>
    <xf numFmtId="37" fontId="48" fillId="28" borderId="175" xfId="1" applyFont="1" applyFill="1" applyBorder="1" applyAlignment="1">
      <alignment horizontal="right" vertical="center"/>
    </xf>
    <xf numFmtId="37" fontId="48" fillId="28" borderId="176" xfId="1" applyFont="1" applyFill="1" applyBorder="1" applyAlignment="1">
      <alignment horizontal="right" vertical="center"/>
    </xf>
    <xf numFmtId="37" fontId="48" fillId="28" borderId="205" xfId="1" applyFont="1" applyFill="1" applyBorder="1" applyAlignment="1">
      <alignment horizontal="right" vertical="center"/>
    </xf>
    <xf numFmtId="37" fontId="48" fillId="28" borderId="177" xfId="1" applyFont="1" applyFill="1" applyBorder="1" applyAlignment="1">
      <alignment vertical="center"/>
    </xf>
    <xf numFmtId="37" fontId="48" fillId="28" borderId="178" xfId="1" applyFont="1" applyFill="1" applyBorder="1" applyAlignment="1">
      <alignment vertical="center"/>
    </xf>
    <xf numFmtId="37" fontId="48" fillId="28" borderId="179" xfId="1" applyFont="1" applyFill="1" applyBorder="1" applyAlignment="1">
      <alignment vertical="center"/>
    </xf>
    <xf numFmtId="3" fontId="53" fillId="42" borderId="144" xfId="0" applyNumberFormat="1" applyFont="1" applyFill="1" applyBorder="1" applyAlignment="1" applyProtection="1">
      <alignment horizontal="center" vertical="center"/>
      <protection locked="0"/>
    </xf>
    <xf numFmtId="168" fontId="53" fillId="0" borderId="0" xfId="1" applyNumberFormat="1" applyFont="1" applyAlignment="1">
      <alignment horizontal="right"/>
    </xf>
    <xf numFmtId="3" fontId="53" fillId="0" borderId="134" xfId="1" applyNumberFormat="1" applyFont="1" applyBorder="1" applyAlignment="1">
      <alignment horizontal="right" vertical="center"/>
    </xf>
    <xf numFmtId="10" fontId="53" fillId="0" borderId="0" xfId="0" applyNumberFormat="1" applyFont="1"/>
    <xf numFmtId="169" fontId="53" fillId="0" borderId="0" xfId="0" applyNumberFormat="1" applyFont="1" applyAlignment="1">
      <alignment horizontal="right"/>
    </xf>
    <xf numFmtId="170" fontId="53" fillId="0" borderId="0" xfId="0" applyNumberFormat="1" applyFont="1"/>
    <xf numFmtId="168" fontId="53" fillId="0" borderId="0" xfId="0" applyNumberFormat="1" applyFont="1"/>
    <xf numFmtId="3" fontId="53" fillId="0" borderId="150" xfId="1" applyNumberFormat="1" applyFont="1" applyBorder="1" applyAlignment="1" applyProtection="1">
      <alignment horizontal="right" vertical="center"/>
      <protection locked="0"/>
    </xf>
    <xf numFmtId="168" fontId="53" fillId="0" borderId="150" xfId="1" applyNumberFormat="1" applyFont="1" applyBorder="1" applyAlignment="1" applyProtection="1">
      <alignment horizontal="right" vertical="center"/>
      <protection locked="0"/>
    </xf>
    <xf numFmtId="3" fontId="53" fillId="42" borderId="151" xfId="0" applyNumberFormat="1" applyFont="1" applyFill="1" applyBorder="1" applyAlignment="1" applyProtection="1">
      <alignment horizontal="center" vertical="center"/>
      <protection locked="0"/>
    </xf>
    <xf numFmtId="3" fontId="53" fillId="0" borderId="150" xfId="1" applyNumberFormat="1" applyFont="1" applyBorder="1" applyAlignment="1">
      <alignment horizontal="right" vertical="center"/>
    </xf>
    <xf numFmtId="3" fontId="53" fillId="42" borderId="155" xfId="0" applyNumberFormat="1" applyFont="1" applyFill="1" applyBorder="1" applyAlignment="1" applyProtection="1">
      <alignment horizontal="center" vertical="center"/>
      <protection locked="0"/>
    </xf>
    <xf numFmtId="3" fontId="53" fillId="0" borderId="154" xfId="1" applyNumberFormat="1" applyFont="1" applyBorder="1" applyAlignment="1">
      <alignment horizontal="right" vertical="center"/>
    </xf>
    <xf numFmtId="3" fontId="53" fillId="42" borderId="144" xfId="1" applyNumberFormat="1" applyFont="1" applyFill="1" applyBorder="1" applyAlignment="1" applyProtection="1">
      <alignment horizontal="center" vertical="center"/>
      <protection locked="0"/>
    </xf>
    <xf numFmtId="3" fontId="53" fillId="42" borderId="151" xfId="1" applyNumberFormat="1" applyFont="1" applyFill="1" applyBorder="1" applyAlignment="1" applyProtection="1">
      <alignment horizontal="center" vertical="center"/>
      <protection locked="0"/>
    </xf>
    <xf numFmtId="3" fontId="53" fillId="0" borderId="160" xfId="1" applyNumberFormat="1" applyFont="1" applyBorder="1" applyAlignment="1">
      <alignment horizontal="right" vertical="center"/>
    </xf>
    <xf numFmtId="3" fontId="53" fillId="10" borderId="159" xfId="1" applyNumberFormat="1" applyFont="1" applyFill="1" applyBorder="1" applyAlignment="1" applyProtection="1">
      <alignment horizontal="center" vertical="center"/>
      <protection locked="0"/>
    </xf>
    <xf numFmtId="3" fontId="53" fillId="33" borderId="240" xfId="1" applyNumberFormat="1" applyFont="1" applyFill="1" applyBorder="1" applyAlignment="1">
      <alignment horizontal="right" vertical="center"/>
    </xf>
    <xf numFmtId="168" fontId="53" fillId="0" borderId="0" xfId="8" applyNumberFormat="1" applyFont="1"/>
    <xf numFmtId="3" fontId="53" fillId="0" borderId="0" xfId="8" applyNumberFormat="1" applyFont="1"/>
    <xf numFmtId="3" fontId="53" fillId="0" borderId="0" xfId="8" applyNumberFormat="1" applyFont="1" applyAlignment="1">
      <alignment horizontal="center"/>
    </xf>
    <xf numFmtId="37" fontId="53" fillId="0" borderId="0" xfId="1" applyFont="1" applyAlignment="1">
      <alignment horizontal="right"/>
    </xf>
    <xf numFmtId="3" fontId="53" fillId="0" borderId="133" xfId="1" applyNumberFormat="1" applyFont="1" applyBorder="1" applyAlignment="1">
      <alignment horizontal="right" vertical="center"/>
    </xf>
    <xf numFmtId="0" fontId="53" fillId="0" borderId="0" xfId="0" applyFont="1"/>
    <xf numFmtId="10" fontId="53" fillId="35" borderId="0" xfId="0" applyNumberFormat="1" applyFont="1" applyFill="1"/>
    <xf numFmtId="3" fontId="53" fillId="0" borderId="150" xfId="8" applyNumberFormat="1" applyFont="1" applyBorder="1" applyAlignment="1">
      <alignment vertical="center"/>
    </xf>
    <xf numFmtId="169" fontId="53" fillId="40" borderId="0" xfId="0" applyNumberFormat="1" applyFont="1" applyFill="1" applyAlignment="1">
      <alignment horizontal="right"/>
    </xf>
    <xf numFmtId="3" fontId="53" fillId="0" borderId="146" xfId="1" applyNumberFormat="1" applyFont="1" applyBorder="1" applyAlignment="1" applyProtection="1">
      <alignment horizontal="right" vertical="center"/>
      <protection locked="0"/>
    </xf>
    <xf numFmtId="168" fontId="53" fillId="0" borderId="146" xfId="1" applyNumberFormat="1" applyFont="1" applyBorder="1" applyAlignment="1" applyProtection="1">
      <alignment horizontal="right" vertical="center"/>
      <protection locked="0"/>
    </xf>
    <xf numFmtId="3" fontId="53" fillId="0" borderId="222" xfId="1" applyNumberFormat="1" applyFont="1" applyBorder="1" applyAlignment="1" applyProtection="1">
      <alignment horizontal="right" vertical="center"/>
      <protection locked="0"/>
    </xf>
    <xf numFmtId="3" fontId="53" fillId="42" borderId="169" xfId="1" applyNumberFormat="1" applyFont="1" applyFill="1" applyBorder="1" applyAlignment="1" applyProtection="1">
      <alignment horizontal="center" vertical="center"/>
      <protection locked="0"/>
    </xf>
    <xf numFmtId="3" fontId="53" fillId="42" borderId="147" xfId="1" applyNumberFormat="1" applyFont="1" applyFill="1" applyBorder="1" applyAlignment="1" applyProtection="1">
      <alignment horizontal="center" vertical="center"/>
      <protection locked="0"/>
    </xf>
    <xf numFmtId="3" fontId="53" fillId="0" borderId="146" xfId="1" applyNumberFormat="1" applyFont="1" applyBorder="1" applyAlignment="1">
      <alignment horizontal="right" vertical="center"/>
    </xf>
    <xf numFmtId="168" fontId="53" fillId="36" borderId="0" xfId="0" applyNumberFormat="1" applyFont="1" applyFill="1" applyAlignment="1">
      <alignment horizontal="right"/>
    </xf>
    <xf numFmtId="168" fontId="53" fillId="0" borderId="219" xfId="1" applyNumberFormat="1" applyFont="1" applyBorder="1" applyAlignment="1">
      <alignment horizontal="right"/>
    </xf>
    <xf numFmtId="3" fontId="53" fillId="42" borderId="155" xfId="1" applyNumberFormat="1" applyFont="1" applyFill="1" applyBorder="1" applyAlignment="1" applyProtection="1">
      <alignment horizontal="center" vertical="center"/>
      <protection locked="0"/>
    </xf>
    <xf numFmtId="166" fontId="53" fillId="0" borderId="0" xfId="0" applyNumberFormat="1" applyFont="1"/>
    <xf numFmtId="3" fontId="53" fillId="42" borderId="151" xfId="8" applyNumberFormat="1" applyFont="1" applyFill="1" applyBorder="1" applyAlignment="1">
      <alignment horizontal="center"/>
    </xf>
    <xf numFmtId="0" fontId="53" fillId="0" borderId="0" xfId="8" applyFont="1"/>
    <xf numFmtId="166" fontId="53" fillId="40" borderId="0" xfId="0" applyNumberFormat="1" applyFont="1" applyFill="1"/>
    <xf numFmtId="4" fontId="53" fillId="0" borderId="0" xfId="0" applyNumberFormat="1" applyFont="1"/>
    <xf numFmtId="10" fontId="54" fillId="0" borderId="0" xfId="0" applyNumberFormat="1" applyFont="1"/>
    <xf numFmtId="168" fontId="53" fillId="0" borderId="0" xfId="8" applyNumberFormat="1" applyFont="1" applyAlignment="1">
      <alignment horizontal="right"/>
    </xf>
    <xf numFmtId="10" fontId="53" fillId="0" borderId="0" xfId="0" applyNumberFormat="1" applyFont="1" applyAlignment="1">
      <alignment horizontal="right"/>
    </xf>
    <xf numFmtId="171" fontId="53" fillId="0" borderId="0" xfId="8" applyNumberFormat="1" applyFont="1"/>
    <xf numFmtId="3" fontId="53" fillId="0" borderId="0" xfId="8" applyNumberFormat="1" applyFont="1" applyAlignment="1">
      <alignment horizontal="left"/>
    </xf>
    <xf numFmtId="3" fontId="35" fillId="0" borderId="133" xfId="1" applyNumberFormat="1" applyFont="1" applyBorder="1" applyAlignment="1" applyProtection="1">
      <alignment horizontal="right" vertical="center"/>
      <protection locked="0"/>
    </xf>
    <xf numFmtId="168" fontId="35" fillId="0" borderId="133" xfId="1" applyNumberFormat="1" applyFont="1" applyBorder="1" applyAlignment="1" applyProtection="1">
      <alignment horizontal="right" vertical="center"/>
      <protection locked="0"/>
    </xf>
    <xf numFmtId="3" fontId="35" fillId="0" borderId="135" xfId="1" applyNumberFormat="1" applyFont="1" applyBorder="1" applyAlignment="1" applyProtection="1">
      <alignment horizontal="right" vertical="center"/>
      <protection locked="0"/>
    </xf>
    <xf numFmtId="3" fontId="35" fillId="42" borderId="167" xfId="1" applyNumberFormat="1" applyFont="1" applyFill="1" applyBorder="1" applyAlignment="1" applyProtection="1">
      <alignment horizontal="center" vertical="center"/>
      <protection locked="0"/>
    </xf>
    <xf numFmtId="3" fontId="35" fillId="42" borderId="164" xfId="1" applyNumberFormat="1" applyFont="1" applyFill="1" applyBorder="1" applyAlignment="1" applyProtection="1">
      <alignment horizontal="center" vertical="center"/>
      <protection locked="0"/>
    </xf>
    <xf numFmtId="3" fontId="35" fillId="0" borderId="133" xfId="1" applyNumberFormat="1" applyFont="1" applyBorder="1" applyAlignment="1">
      <alignment horizontal="right" vertical="center"/>
    </xf>
    <xf numFmtId="168" fontId="35" fillId="0" borderId="133" xfId="1" applyNumberFormat="1" applyFont="1" applyBorder="1" applyAlignment="1">
      <alignment horizontal="right" vertical="center"/>
    </xf>
    <xf numFmtId="10" fontId="35" fillId="35" borderId="0" xfId="0" applyNumberFormat="1" applyFont="1" applyFill="1"/>
    <xf numFmtId="3" fontId="35" fillId="0" borderId="150" xfId="8" applyNumberFormat="1" applyFont="1" applyBorder="1" applyAlignment="1" applyProtection="1">
      <alignment vertical="center"/>
      <protection locked="0"/>
    </xf>
    <xf numFmtId="168" fontId="35" fillId="0" borderId="150" xfId="8" applyNumberFormat="1" applyFont="1" applyBorder="1" applyAlignment="1" applyProtection="1">
      <alignment vertical="center"/>
      <protection locked="0"/>
    </xf>
    <xf numFmtId="168" fontId="35" fillId="0" borderId="150" xfId="8" applyNumberFormat="1" applyFont="1" applyBorder="1" applyAlignment="1">
      <alignment vertical="center"/>
    </xf>
    <xf numFmtId="3" fontId="35" fillId="0" borderId="136" xfId="1" quotePrefix="1" applyNumberFormat="1" applyFont="1" applyBorder="1" applyAlignment="1" applyProtection="1">
      <alignment horizontal="right" vertical="center"/>
      <protection locked="0"/>
    </xf>
    <xf numFmtId="10" fontId="35" fillId="34" borderId="0" xfId="0" applyNumberFormat="1" applyFont="1" applyFill="1" applyAlignment="1">
      <alignment horizontal="center"/>
    </xf>
    <xf numFmtId="3" fontId="35" fillId="0" borderId="146" xfId="1" applyNumberFormat="1" applyFont="1" applyBorder="1" applyAlignment="1" applyProtection="1">
      <alignment horizontal="right" vertical="center"/>
      <protection locked="0"/>
    </xf>
    <xf numFmtId="168" fontId="35" fillId="0" borderId="146" xfId="1" applyNumberFormat="1" applyFont="1" applyBorder="1" applyAlignment="1" applyProtection="1">
      <alignment horizontal="right" vertical="center"/>
      <protection locked="0"/>
    </xf>
    <xf numFmtId="3" fontId="35" fillId="0" borderId="222" xfId="1" applyNumberFormat="1" applyFont="1" applyBorder="1" applyAlignment="1" applyProtection="1">
      <alignment horizontal="right" vertical="center"/>
      <protection locked="0"/>
    </xf>
    <xf numFmtId="3" fontId="35" fillId="42" borderId="169" xfId="1" applyNumberFormat="1" applyFont="1" applyFill="1" applyBorder="1" applyAlignment="1" applyProtection="1">
      <alignment horizontal="center" vertical="center"/>
      <protection locked="0"/>
    </xf>
    <xf numFmtId="3" fontId="35" fillId="42" borderId="147" xfId="1" applyNumberFormat="1" applyFont="1" applyFill="1" applyBorder="1" applyAlignment="1" applyProtection="1">
      <alignment horizontal="center" vertical="center"/>
      <protection locked="0"/>
    </xf>
    <xf numFmtId="3" fontId="35" fillId="0" borderId="146" xfId="1" applyNumberFormat="1" applyFont="1" applyBorder="1" applyAlignment="1">
      <alignment horizontal="right" vertical="center"/>
    </xf>
    <xf numFmtId="168" fontId="35" fillId="0" borderId="146" xfId="1" applyNumberFormat="1" applyFont="1" applyBorder="1" applyAlignment="1">
      <alignment horizontal="right" vertical="center"/>
    </xf>
    <xf numFmtId="3" fontId="35" fillId="0" borderId="221" xfId="1" quotePrefix="1" applyNumberFormat="1" applyFont="1" applyBorder="1" applyAlignment="1" applyProtection="1">
      <alignment horizontal="right" vertical="center"/>
      <protection locked="0"/>
    </xf>
    <xf numFmtId="3" fontId="35" fillId="0" borderId="154" xfId="1" applyNumberFormat="1" applyFont="1" applyBorder="1" applyAlignment="1" applyProtection="1">
      <alignment horizontal="right" vertical="center"/>
      <protection locked="0"/>
    </xf>
    <xf numFmtId="168" fontId="35" fillId="0" borderId="154" xfId="1" applyNumberFormat="1" applyFont="1" applyBorder="1" applyAlignment="1" applyProtection="1">
      <alignment horizontal="right" vertical="center"/>
      <protection locked="0"/>
    </xf>
    <xf numFmtId="3" fontId="35" fillId="0" borderId="223" xfId="0" quotePrefix="1" applyNumberFormat="1" applyFont="1" applyBorder="1" applyAlignment="1" applyProtection="1">
      <alignment horizontal="right" vertical="center"/>
      <protection locked="0"/>
    </xf>
    <xf numFmtId="168" fontId="35" fillId="0" borderId="154" xfId="1" applyNumberFormat="1" applyFont="1" applyBorder="1" applyAlignment="1">
      <alignment horizontal="right" vertical="center"/>
    </xf>
    <xf numFmtId="4" fontId="35" fillId="0" borderId="150" xfId="1" applyNumberFormat="1" applyFont="1" applyBorder="1" applyAlignment="1" applyProtection="1">
      <alignment horizontal="right" vertical="center"/>
      <protection locked="0"/>
    </xf>
    <xf numFmtId="10" fontId="35" fillId="37" borderId="150" xfId="0" applyNumberFormat="1" applyFont="1" applyFill="1" applyBorder="1" applyAlignment="1">
      <alignment horizontal="center"/>
    </xf>
    <xf numFmtId="4" fontId="35" fillId="0" borderId="154" xfId="1" applyNumberFormat="1" applyFont="1" applyBorder="1" applyAlignment="1" applyProtection="1">
      <alignment horizontal="right" vertical="center"/>
      <protection locked="0"/>
    </xf>
    <xf numFmtId="3" fontId="35" fillId="0" borderId="223" xfId="1" applyNumberFormat="1" applyFont="1" applyBorder="1" applyAlignment="1" applyProtection="1">
      <alignment horizontal="right" vertical="center"/>
      <protection locked="0"/>
    </xf>
    <xf numFmtId="10" fontId="35" fillId="34" borderId="150" xfId="0" applyNumberFormat="1" applyFont="1" applyFill="1" applyBorder="1" applyAlignment="1">
      <alignment horizontal="center"/>
    </xf>
    <xf numFmtId="3" fontId="35" fillId="0" borderId="223" xfId="1" applyNumberFormat="1" applyFont="1" applyBorder="1" applyAlignment="1">
      <alignment horizontal="right" vertical="center"/>
    </xf>
    <xf numFmtId="3" fontId="35" fillId="42" borderId="92" xfId="1" applyNumberFormat="1" applyFont="1" applyFill="1" applyBorder="1" applyAlignment="1" applyProtection="1">
      <alignment horizontal="center" vertical="center"/>
      <protection locked="0"/>
    </xf>
    <xf numFmtId="10" fontId="35" fillId="0" borderId="0" xfId="0" applyNumberFormat="1" applyFont="1" applyAlignment="1">
      <alignment horizontal="center"/>
    </xf>
    <xf numFmtId="10" fontId="35" fillId="35" borderId="0" xfId="0" applyNumberFormat="1" applyFont="1" applyFill="1" applyAlignment="1">
      <alignment horizontal="center"/>
    </xf>
    <xf numFmtId="3" fontId="35" fillId="0" borderId="221" xfId="1" quotePrefix="1" applyNumberFormat="1" applyFont="1" applyBorder="1" applyAlignment="1">
      <alignment horizontal="right" vertical="center"/>
    </xf>
    <xf numFmtId="3" fontId="35" fillId="0" borderId="150" xfId="8" applyNumberFormat="1" applyFont="1" applyBorder="1"/>
    <xf numFmtId="168" fontId="35" fillId="0" borderId="150" xfId="8" applyNumberFormat="1" applyFont="1" applyBorder="1"/>
    <xf numFmtId="3" fontId="35" fillId="0" borderId="223" xfId="1" quotePrefix="1" applyNumberFormat="1" applyFont="1" applyBorder="1" applyAlignment="1">
      <alignment horizontal="right" vertical="center"/>
    </xf>
    <xf numFmtId="4" fontId="36" fillId="43" borderId="170" xfId="0" applyNumberFormat="1" applyFont="1" applyFill="1" applyBorder="1" applyAlignment="1">
      <alignment horizontal="right" vertical="center"/>
    </xf>
    <xf numFmtId="4" fontId="36" fillId="42" borderId="170" xfId="1" applyNumberFormat="1" applyFont="1" applyFill="1" applyBorder="1" applyAlignment="1">
      <alignment horizontal="right" vertical="center"/>
    </xf>
    <xf numFmtId="3" fontId="36" fillId="42" borderId="170" xfId="0" applyNumberFormat="1" applyFont="1" applyFill="1" applyBorder="1" applyAlignment="1" applyProtection="1">
      <alignment horizontal="center" vertical="center"/>
      <protection locked="0"/>
    </xf>
    <xf numFmtId="3" fontId="36" fillId="42" borderId="144" xfId="0" applyNumberFormat="1" applyFont="1" applyFill="1" applyBorder="1" applyAlignment="1" applyProtection="1">
      <alignment horizontal="center" vertical="center"/>
      <protection locked="0"/>
    </xf>
    <xf numFmtId="3" fontId="36" fillId="42" borderId="0" xfId="0" applyNumberFormat="1" applyFont="1" applyFill="1" applyAlignment="1" applyProtection="1">
      <alignment horizontal="center" vertical="center"/>
      <protection locked="0"/>
    </xf>
    <xf numFmtId="3" fontId="36" fillId="42" borderId="151" xfId="0" applyNumberFormat="1" applyFont="1" applyFill="1" applyBorder="1" applyAlignment="1" applyProtection="1">
      <alignment horizontal="center" vertical="center"/>
      <protection locked="0"/>
    </xf>
    <xf numFmtId="4" fontId="36" fillId="42" borderId="170" xfId="0" applyNumberFormat="1" applyFont="1" applyFill="1" applyBorder="1" applyAlignment="1">
      <alignment horizontal="right" vertical="center"/>
    </xf>
    <xf numFmtId="168" fontId="36" fillId="0" borderId="160" xfId="1" applyNumberFormat="1" applyFont="1" applyBorder="1" applyAlignment="1">
      <alignment horizontal="right" vertical="center"/>
    </xf>
    <xf numFmtId="3" fontId="36" fillId="10" borderId="158" xfId="1" applyNumberFormat="1" applyFont="1" applyFill="1" applyBorder="1" applyAlignment="1">
      <alignment horizontal="right" vertical="center"/>
    </xf>
    <xf numFmtId="3" fontId="36" fillId="10" borderId="159" xfId="1" applyNumberFormat="1" applyFont="1" applyFill="1" applyBorder="1" applyAlignment="1" applyProtection="1">
      <alignment horizontal="center" vertical="center"/>
      <protection locked="0"/>
    </xf>
    <xf numFmtId="3" fontId="36" fillId="33" borderId="240" xfId="1" applyNumberFormat="1" applyFont="1" applyFill="1" applyBorder="1" applyAlignment="1">
      <alignment horizontal="right" vertical="center"/>
    </xf>
    <xf numFmtId="168" fontId="36" fillId="10" borderId="199" xfId="1" applyNumberFormat="1" applyFont="1" applyFill="1" applyBorder="1" applyAlignment="1">
      <alignment horizontal="right" vertical="center"/>
    </xf>
    <xf numFmtId="10" fontId="35" fillId="44" borderId="0" xfId="0" applyNumberFormat="1" applyFont="1" applyFill="1" applyAlignment="1">
      <alignment horizontal="center"/>
    </xf>
    <xf numFmtId="168" fontId="35" fillId="28" borderId="0" xfId="0" applyNumberFormat="1" applyFont="1" applyFill="1"/>
    <xf numFmtId="10" fontId="35" fillId="28" borderId="0" xfId="0" applyNumberFormat="1" applyFont="1" applyFill="1" applyAlignment="1">
      <alignment horizontal="center"/>
    </xf>
    <xf numFmtId="10" fontId="35" fillId="34" borderId="239" xfId="0" applyNumberFormat="1" applyFont="1" applyFill="1" applyBorder="1" applyAlignment="1">
      <alignment horizontal="center"/>
    </xf>
    <xf numFmtId="168" fontId="36" fillId="44" borderId="0" xfId="0" applyNumberFormat="1" applyFont="1" applyFill="1"/>
    <xf numFmtId="168" fontId="35" fillId="0" borderId="199" xfId="1" applyNumberFormat="1" applyFont="1" applyBorder="1" applyAlignment="1">
      <alignment horizontal="right" vertical="center"/>
    </xf>
    <xf numFmtId="0" fontId="29" fillId="0" borderId="0" xfId="8" applyFont="1" applyProtection="1">
      <protection locked="0"/>
    </xf>
    <xf numFmtId="37" fontId="29" fillId="0" borderId="0" xfId="8" applyNumberFormat="1" applyFont="1" applyProtection="1">
      <protection locked="0"/>
    </xf>
    <xf numFmtId="49" fontId="29" fillId="0" borderId="0" xfId="8" applyNumberFormat="1" applyFont="1" applyAlignment="1">
      <alignment vertical="center"/>
    </xf>
    <xf numFmtId="3" fontId="2" fillId="0" borderId="0" xfId="0" applyNumberFormat="1" applyFont="1" applyAlignment="1">
      <alignment horizontal="left"/>
    </xf>
    <xf numFmtId="167" fontId="36" fillId="0" borderId="0" xfId="8" applyNumberFormat="1" applyFont="1"/>
    <xf numFmtId="4" fontId="35" fillId="42" borderId="164" xfId="1" applyNumberFormat="1" applyFont="1" applyFill="1" applyBorder="1" applyAlignment="1" applyProtection="1">
      <alignment horizontal="right" vertical="center"/>
      <protection locked="0"/>
    </xf>
    <xf numFmtId="4" fontId="35" fillId="43" borderId="144" xfId="0" applyNumberFormat="1" applyFont="1" applyFill="1" applyBorder="1" applyAlignment="1">
      <alignment horizontal="right" vertical="center"/>
    </xf>
    <xf numFmtId="4" fontId="35" fillId="42" borderId="151" xfId="1" applyNumberFormat="1" applyFont="1" applyFill="1" applyBorder="1" applyAlignment="1">
      <alignment horizontal="right" vertical="center"/>
    </xf>
    <xf numFmtId="4" fontId="35" fillId="42" borderId="144" xfId="1" applyNumberFormat="1" applyFont="1" applyFill="1" applyBorder="1" applyAlignment="1">
      <alignment horizontal="right" vertical="center"/>
    </xf>
    <xf numFmtId="4" fontId="35" fillId="42" borderId="147" xfId="1" applyNumberFormat="1" applyFont="1" applyFill="1" applyBorder="1" applyAlignment="1">
      <alignment horizontal="right" vertical="center"/>
    </xf>
    <xf numFmtId="4" fontId="35" fillId="42" borderId="155" xfId="1" applyNumberFormat="1" applyFont="1" applyFill="1" applyBorder="1" applyAlignment="1">
      <alignment horizontal="right" vertical="center"/>
    </xf>
    <xf numFmtId="4" fontId="35" fillId="43" borderId="151" xfId="0" applyNumberFormat="1" applyFont="1" applyFill="1" applyBorder="1" applyAlignment="1">
      <alignment horizontal="right" vertical="center"/>
    </xf>
    <xf numFmtId="4" fontId="35" fillId="43" borderId="155" xfId="0" applyNumberFormat="1" applyFont="1" applyFill="1" applyBorder="1" applyAlignment="1">
      <alignment horizontal="right" vertical="center"/>
    </xf>
    <xf numFmtId="4" fontId="35" fillId="42" borderId="144" xfId="0" applyNumberFormat="1" applyFont="1" applyFill="1" applyBorder="1" applyAlignment="1">
      <alignment horizontal="right" vertical="center"/>
    </xf>
    <xf numFmtId="4" fontId="53" fillId="42" borderId="147" xfId="1" applyNumberFormat="1" applyFont="1" applyFill="1" applyBorder="1" applyAlignment="1">
      <alignment horizontal="right" vertical="center"/>
    </xf>
    <xf numFmtId="3" fontId="35" fillId="42" borderId="0" xfId="8" applyNumberFormat="1" applyFont="1" applyFill="1" applyAlignment="1">
      <alignment horizontal="center"/>
    </xf>
    <xf numFmtId="4" fontId="35" fillId="12" borderId="241" xfId="8" applyNumberFormat="1" applyFont="1" applyFill="1" applyBorder="1" applyAlignment="1">
      <alignment vertical="center"/>
    </xf>
    <xf numFmtId="37" fontId="56" fillId="0" borderId="0" xfId="8" applyNumberFormat="1" applyFont="1" applyAlignment="1">
      <alignment vertical="center"/>
    </xf>
    <xf numFmtId="0" fontId="57" fillId="0" borderId="0" xfId="0" applyFont="1"/>
    <xf numFmtId="0" fontId="57" fillId="0" borderId="170" xfId="0" applyFont="1" applyBorder="1"/>
    <xf numFmtId="168" fontId="57" fillId="0" borderId="0" xfId="0" applyNumberFormat="1" applyFont="1"/>
    <xf numFmtId="0" fontId="58" fillId="0" borderId="0" xfId="0" applyFont="1"/>
    <xf numFmtId="37" fontId="50" fillId="0" borderId="235" xfId="1" quotePrefix="1" applyFont="1" applyBorder="1" applyAlignment="1">
      <alignment horizontal="right" vertical="center"/>
    </xf>
    <xf numFmtId="37" fontId="50" fillId="0" borderId="237" xfId="1" quotePrefix="1" applyFont="1" applyBorder="1" applyAlignment="1">
      <alignment horizontal="right" vertical="center"/>
    </xf>
    <xf numFmtId="37" fontId="48" fillId="0" borderId="243" xfId="1" applyFont="1" applyBorder="1" applyAlignment="1">
      <alignment vertical="center"/>
    </xf>
    <xf numFmtId="37" fontId="48" fillId="0" borderId="245" xfId="1" applyFont="1" applyBorder="1" applyAlignment="1">
      <alignment vertical="center"/>
    </xf>
    <xf numFmtId="37" fontId="48" fillId="0" borderId="246" xfId="1" applyFont="1" applyBorder="1" applyAlignment="1">
      <alignment vertical="center"/>
    </xf>
    <xf numFmtId="37" fontId="48" fillId="0" borderId="247" xfId="1" applyFont="1" applyBorder="1" applyAlignment="1">
      <alignment vertical="center"/>
    </xf>
    <xf numFmtId="37" fontId="48" fillId="0" borderId="248" xfId="1" applyFont="1" applyBorder="1" applyAlignment="1">
      <alignment vertical="center"/>
    </xf>
    <xf numFmtId="0" fontId="4" fillId="0" borderId="242" xfId="8" applyFont="1" applyBorder="1"/>
    <xf numFmtId="37" fontId="50" fillId="0" borderId="251" xfId="1" applyFont="1" applyBorder="1" applyAlignment="1">
      <alignment horizontal="right" vertical="center"/>
    </xf>
    <xf numFmtId="37" fontId="50" fillId="0" borderId="252" xfId="1" quotePrefix="1" applyFont="1" applyBorder="1" applyAlignment="1">
      <alignment horizontal="right" vertical="center"/>
    </xf>
    <xf numFmtId="37" fontId="50" fillId="0" borderId="255" xfId="1" applyFont="1" applyBorder="1" applyAlignment="1">
      <alignment horizontal="right" vertical="center"/>
    </xf>
    <xf numFmtId="0" fontId="50" fillId="21" borderId="256" xfId="0" applyFont="1" applyFill="1" applyBorder="1" applyAlignment="1">
      <alignment horizontal="center"/>
    </xf>
    <xf numFmtId="37" fontId="50" fillId="21" borderId="257" xfId="1" applyFont="1" applyFill="1" applyBorder="1" applyAlignment="1">
      <alignment horizontal="right" vertical="center"/>
    </xf>
    <xf numFmtId="37" fontId="50" fillId="0" borderId="257" xfId="1" applyFont="1" applyBorder="1" applyAlignment="1">
      <alignment horizontal="right" vertical="center"/>
    </xf>
    <xf numFmtId="0" fontId="50" fillId="21" borderId="256" xfId="0" applyFont="1" applyFill="1" applyBorder="1" applyAlignment="1">
      <alignment horizontal="center" vertical="center"/>
    </xf>
    <xf numFmtId="37" fontId="50" fillId="0" borderId="256" xfId="1" applyFont="1" applyBorder="1" applyAlignment="1">
      <alignment horizontal="right" vertical="center"/>
    </xf>
    <xf numFmtId="37" fontId="50" fillId="0" borderId="255" xfId="1" quotePrefix="1" applyFont="1" applyBorder="1" applyAlignment="1">
      <alignment horizontal="right" vertical="center"/>
    </xf>
    <xf numFmtId="37" fontId="50" fillId="0" borderId="257" xfId="1" quotePrefix="1" applyFont="1" applyBorder="1" applyAlignment="1">
      <alignment horizontal="right" vertical="center"/>
    </xf>
    <xf numFmtId="37" fontId="48" fillId="28" borderId="259" xfId="1" applyFont="1" applyFill="1" applyBorder="1" applyAlignment="1">
      <alignment vertical="center"/>
    </xf>
    <xf numFmtId="37" fontId="4" fillId="0" borderId="250" xfId="8" applyNumberFormat="1" applyFont="1" applyBorder="1"/>
    <xf numFmtId="37" fontId="50" fillId="0" borderId="253" xfId="7" applyNumberFormat="1" applyFont="1" applyBorder="1" applyAlignment="1">
      <alignment vertical="center"/>
    </xf>
    <xf numFmtId="37" fontId="50" fillId="21" borderId="256" xfId="1" applyFont="1" applyFill="1" applyBorder="1" applyAlignment="1">
      <alignment horizontal="right" vertical="center"/>
    </xf>
    <xf numFmtId="0" fontId="50" fillId="21" borderId="257" xfId="0" applyFont="1" applyFill="1" applyBorder="1" applyAlignment="1">
      <alignment horizontal="right" vertical="center"/>
    </xf>
    <xf numFmtId="37" fontId="52" fillId="22" borderId="258" xfId="1" applyFont="1" applyFill="1" applyBorder="1" applyAlignment="1">
      <alignment horizontal="center" vertical="center"/>
    </xf>
    <xf numFmtId="0" fontId="50" fillId="21" borderId="264" xfId="0" applyFont="1" applyFill="1" applyBorder="1" applyAlignment="1">
      <alignment horizontal="center"/>
    </xf>
    <xf numFmtId="37" fontId="50" fillId="21" borderId="263" xfId="1" applyFont="1" applyFill="1" applyBorder="1" applyAlignment="1">
      <alignment horizontal="right" vertical="center"/>
    </xf>
    <xf numFmtId="0" fontId="50" fillId="21" borderId="264" xfId="0" applyFont="1" applyFill="1" applyBorder="1" applyAlignment="1">
      <alignment horizontal="center" vertical="center"/>
    </xf>
    <xf numFmtId="37" fontId="50" fillId="21" borderId="264" xfId="1" applyFont="1" applyFill="1" applyBorder="1" applyAlignment="1">
      <alignment horizontal="right" vertical="center"/>
    </xf>
    <xf numFmtId="37" fontId="52" fillId="22" borderId="265" xfId="1" applyFont="1" applyFill="1" applyBorder="1" applyAlignment="1">
      <alignment horizontal="center" vertical="center"/>
    </xf>
    <xf numFmtId="37" fontId="48" fillId="28" borderId="266" xfId="1" applyFont="1" applyFill="1" applyBorder="1" applyAlignment="1">
      <alignment vertical="center"/>
    </xf>
    <xf numFmtId="37" fontId="4" fillId="0" borderId="267" xfId="8" applyNumberFormat="1" applyFont="1" applyBorder="1"/>
    <xf numFmtId="37" fontId="48" fillId="0" borderId="271" xfId="1" applyFont="1" applyBorder="1" applyAlignment="1" applyProtection="1">
      <alignment horizontal="right" vertical="center"/>
      <protection locked="0"/>
    </xf>
    <xf numFmtId="0" fontId="50" fillId="20" borderId="272" xfId="0" applyFont="1" applyFill="1" applyBorder="1" applyProtection="1">
      <protection locked="0"/>
    </xf>
    <xf numFmtId="37" fontId="48" fillId="34" borderId="271" xfId="1" applyFont="1" applyFill="1" applyBorder="1" applyAlignment="1" applyProtection="1">
      <alignment horizontal="right" vertical="center"/>
      <protection locked="0"/>
    </xf>
    <xf numFmtId="37" fontId="48" fillId="0" borderId="272" xfId="1" applyFont="1" applyBorder="1" applyAlignment="1" applyProtection="1">
      <alignment horizontal="right" vertical="center"/>
      <protection locked="0"/>
    </xf>
    <xf numFmtId="0" fontId="50" fillId="20" borderId="272" xfId="0" applyFont="1" applyFill="1" applyBorder="1" applyAlignment="1" applyProtection="1">
      <alignment vertical="center"/>
      <protection locked="0"/>
    </xf>
    <xf numFmtId="37" fontId="48" fillId="21" borderId="272" xfId="1" applyFont="1" applyFill="1" applyBorder="1" applyAlignment="1" applyProtection="1">
      <alignment horizontal="right" vertical="center"/>
      <protection locked="0"/>
    </xf>
    <xf numFmtId="37" fontId="48" fillId="0" borderId="271" xfId="1" applyFont="1" applyBorder="1" applyAlignment="1">
      <alignment horizontal="right" vertical="center"/>
    </xf>
    <xf numFmtId="37" fontId="48" fillId="0" borderId="272" xfId="1" applyFont="1" applyBorder="1" applyAlignment="1">
      <alignment horizontal="right" vertical="center"/>
    </xf>
    <xf numFmtId="37" fontId="48" fillId="21" borderId="272" xfId="1" applyFont="1" applyFill="1" applyBorder="1" applyAlignment="1">
      <alignment horizontal="center"/>
    </xf>
    <xf numFmtId="37" fontId="48" fillId="34" borderId="271" xfId="1" applyFont="1" applyFill="1" applyBorder="1" applyAlignment="1">
      <alignment horizontal="right" vertical="center"/>
    </xf>
    <xf numFmtId="37" fontId="48" fillId="29" borderId="273" xfId="1" applyFont="1" applyFill="1" applyBorder="1" applyAlignment="1">
      <alignment vertical="center"/>
    </xf>
    <xf numFmtId="37" fontId="4" fillId="0" borderId="268" xfId="8" applyNumberFormat="1" applyFont="1" applyBorder="1"/>
    <xf numFmtId="10" fontId="35" fillId="44" borderId="239" xfId="0" applyNumberFormat="1" applyFont="1" applyFill="1" applyBorder="1" applyAlignment="1">
      <alignment horizontal="center"/>
    </xf>
    <xf numFmtId="37" fontId="50" fillId="21" borderId="262" xfId="1" applyFont="1" applyFill="1" applyBorder="1" applyAlignment="1">
      <alignment horizontal="right" vertical="center"/>
    </xf>
    <xf numFmtId="37" fontId="52" fillId="22" borderId="262" xfId="1" applyFont="1" applyFill="1" applyBorder="1" applyAlignment="1">
      <alignment horizontal="center" vertical="center"/>
    </xf>
    <xf numFmtId="37" fontId="48" fillId="0" borderId="280" xfId="1" applyFont="1" applyBorder="1" applyAlignment="1">
      <alignment horizontal="right" vertical="center"/>
    </xf>
    <xf numFmtId="37" fontId="50" fillId="0" borderId="262" xfId="1" applyFont="1" applyBorder="1" applyAlignment="1">
      <alignment horizontal="right" vertical="center"/>
    </xf>
    <xf numFmtId="37" fontId="50" fillId="0" borderId="263" xfId="1" applyFont="1" applyBorder="1" applyAlignment="1">
      <alignment horizontal="right" vertical="center"/>
    </xf>
    <xf numFmtId="37" fontId="50" fillId="0" borderId="264" xfId="1" applyFont="1" applyBorder="1" applyAlignment="1">
      <alignment horizontal="right" vertical="center"/>
    </xf>
    <xf numFmtId="37" fontId="59" fillId="0" borderId="0" xfId="8" applyNumberFormat="1" applyFont="1"/>
    <xf numFmtId="10" fontId="59" fillId="0" borderId="0" xfId="8" applyNumberFormat="1" applyFont="1"/>
    <xf numFmtId="37" fontId="60" fillId="0" borderId="0" xfId="8" applyNumberFormat="1" applyFont="1"/>
    <xf numFmtId="10" fontId="60" fillId="0" borderId="0" xfId="8" applyNumberFormat="1" applyFont="1"/>
    <xf numFmtId="37" fontId="59" fillId="0" borderId="0" xfId="1" applyFont="1" applyAlignment="1">
      <alignment vertical="center"/>
    </xf>
    <xf numFmtId="37" fontId="60" fillId="0" borderId="0" xfId="1" applyFont="1" applyAlignment="1">
      <alignment vertical="center"/>
    </xf>
    <xf numFmtId="168" fontId="53" fillId="0" borderId="0" xfId="0" applyNumberFormat="1" applyFont="1" applyAlignment="1">
      <alignment horizontal="right"/>
    </xf>
    <xf numFmtId="168" fontId="35" fillId="47" borderId="150" xfId="1" applyNumberFormat="1" applyFont="1" applyFill="1" applyBorder="1" applyAlignment="1" applyProtection="1">
      <alignment horizontal="right" vertical="center"/>
      <protection locked="0"/>
    </xf>
    <xf numFmtId="168" fontId="35" fillId="47" borderId="150" xfId="8" applyNumberFormat="1" applyFont="1" applyFill="1" applyBorder="1" applyAlignment="1" applyProtection="1">
      <alignment vertical="center"/>
      <protection locked="0"/>
    </xf>
    <xf numFmtId="10" fontId="35" fillId="48" borderId="0" xfId="0" applyNumberFormat="1" applyFont="1" applyFill="1" applyAlignment="1">
      <alignment horizontal="center"/>
    </xf>
    <xf numFmtId="168" fontId="36" fillId="48" borderId="0" xfId="0" applyNumberFormat="1" applyFont="1" applyFill="1"/>
    <xf numFmtId="10" fontId="35" fillId="45" borderId="150" xfId="0" applyNumberFormat="1" applyFont="1" applyFill="1" applyBorder="1" applyAlignment="1">
      <alignment horizontal="center"/>
    </xf>
    <xf numFmtId="0" fontId="61" fillId="0" borderId="0" xfId="9" applyFont="1" applyAlignment="1">
      <alignment horizontal="center"/>
    </xf>
    <xf numFmtId="168" fontId="61" fillId="0" borderId="0" xfId="0" applyNumberFormat="1" applyFont="1"/>
    <xf numFmtId="0" fontId="61" fillId="0" borderId="0" xfId="0" applyFont="1"/>
    <xf numFmtId="0" fontId="36" fillId="49" borderId="0" xfId="0" applyFont="1" applyFill="1" applyAlignment="1">
      <alignment horizontal="right"/>
    </xf>
    <xf numFmtId="0" fontId="36" fillId="49" borderId="0" xfId="0" applyFont="1" applyFill="1" applyAlignment="1">
      <alignment horizontal="center"/>
    </xf>
    <xf numFmtId="10" fontId="35" fillId="0" borderId="281" xfId="0" applyNumberFormat="1" applyFont="1" applyBorder="1" applyAlignment="1">
      <alignment horizontal="center"/>
    </xf>
    <xf numFmtId="10" fontId="35" fillId="0" borderId="160" xfId="0" applyNumberFormat="1" applyFont="1" applyBorder="1" applyAlignment="1">
      <alignment horizontal="center"/>
    </xf>
    <xf numFmtId="10" fontId="35" fillId="48" borderId="134" xfId="0" applyNumberFormat="1" applyFont="1" applyFill="1" applyBorder="1" applyAlignment="1">
      <alignment horizontal="center"/>
    </xf>
    <xf numFmtId="10" fontId="53" fillId="50" borderId="134" xfId="0" applyNumberFormat="1" applyFont="1" applyFill="1" applyBorder="1" applyAlignment="1">
      <alignment horizontal="center"/>
    </xf>
    <xf numFmtId="0" fontId="36" fillId="50" borderId="0" xfId="0" quotePrefix="1" applyFont="1" applyFill="1"/>
    <xf numFmtId="0" fontId="36" fillId="50" borderId="0" xfId="0" applyFont="1" applyFill="1"/>
    <xf numFmtId="0" fontId="36" fillId="0" borderId="0" xfId="0" quotePrefix="1" applyFont="1" applyAlignment="1">
      <alignment horizontal="right"/>
    </xf>
    <xf numFmtId="10" fontId="35" fillId="51" borderId="0" xfId="0" applyNumberFormat="1" applyFont="1" applyFill="1" applyAlignment="1">
      <alignment horizontal="center"/>
    </xf>
    <xf numFmtId="0" fontId="35" fillId="51" borderId="0" xfId="0" applyFont="1" applyFill="1"/>
    <xf numFmtId="0" fontId="35" fillId="51" borderId="170" xfId="0" applyFont="1" applyFill="1" applyBorder="1"/>
    <xf numFmtId="0" fontId="57" fillId="51" borderId="170" xfId="0" applyFont="1" applyFill="1" applyBorder="1"/>
    <xf numFmtId="0" fontId="57" fillId="51" borderId="0" xfId="0" applyFont="1" applyFill="1"/>
    <xf numFmtId="168" fontId="57" fillId="51" borderId="0" xfId="0" applyNumberFormat="1" applyFont="1" applyFill="1"/>
    <xf numFmtId="0" fontId="36" fillId="51" borderId="0" xfId="0" applyFont="1" applyFill="1"/>
    <xf numFmtId="0" fontId="62" fillId="46" borderId="0" xfId="8" applyFont="1" applyFill="1"/>
    <xf numFmtId="4" fontId="2" fillId="0" borderId="0" xfId="0" applyNumberFormat="1" applyFont="1"/>
    <xf numFmtId="0" fontId="2" fillId="0" borderId="0" xfId="0" quotePrefix="1" applyFont="1"/>
    <xf numFmtId="0" fontId="35" fillId="0" borderId="0" xfId="0" applyFont="1" applyBorder="1" applyAlignment="1">
      <alignment horizontal="right"/>
    </xf>
    <xf numFmtId="0" fontId="57" fillId="0" borderId="0" xfId="0" applyFont="1" applyBorder="1"/>
    <xf numFmtId="0" fontId="36" fillId="0" borderId="0" xfId="0" applyFont="1" applyBorder="1" applyAlignment="1">
      <alignment horizontal="right"/>
    </xf>
    <xf numFmtId="0" fontId="36" fillId="0" borderId="0" xfId="0" applyFont="1" applyBorder="1"/>
    <xf numFmtId="0" fontId="29" fillId="0" borderId="0" xfId="8" applyFont="1" applyFill="1"/>
    <xf numFmtId="0" fontId="62" fillId="0" borderId="0" xfId="8" applyFont="1" applyFill="1"/>
    <xf numFmtId="9" fontId="29" fillId="0" borderId="0" xfId="12" applyFont="1" applyFill="1"/>
    <xf numFmtId="0" fontId="4" fillId="0" borderId="210" xfId="8" applyFont="1" applyBorder="1"/>
    <xf numFmtId="0" fontId="36" fillId="0" borderId="151" xfId="0" applyFont="1" applyFill="1" applyBorder="1"/>
    <xf numFmtId="4" fontId="35" fillId="0" borderId="170" xfId="0" applyNumberFormat="1" applyFont="1" applyFill="1" applyBorder="1" applyAlignment="1">
      <alignment horizontal="right" vertical="center"/>
    </xf>
    <xf numFmtId="0" fontId="36" fillId="0" borderId="144" xfId="0" applyFont="1" applyFill="1" applyBorder="1"/>
    <xf numFmtId="4" fontId="35" fillId="0" borderId="170" xfId="1" applyNumberFormat="1" applyFont="1" applyFill="1" applyBorder="1" applyAlignment="1">
      <alignment horizontal="right" vertical="center"/>
    </xf>
    <xf numFmtId="4" fontId="36" fillId="0" borderId="169" xfId="1" applyNumberFormat="1" applyFont="1" applyFill="1" applyBorder="1" applyAlignment="1">
      <alignment horizontal="right" vertical="center"/>
    </xf>
    <xf numFmtId="4" fontId="35" fillId="0" borderId="168" xfId="0" applyNumberFormat="1" applyFont="1" applyFill="1" applyBorder="1" applyAlignment="1">
      <alignment horizontal="right" vertical="center"/>
    </xf>
    <xf numFmtId="0" fontId="36" fillId="0" borderId="165" xfId="0" applyFont="1" applyFill="1" applyBorder="1"/>
    <xf numFmtId="0" fontId="36" fillId="0" borderId="155" xfId="0" applyFont="1" applyFill="1" applyBorder="1"/>
    <xf numFmtId="4" fontId="36" fillId="0" borderId="92" xfId="1" applyNumberFormat="1" applyFont="1" applyFill="1" applyBorder="1" applyAlignment="1">
      <alignment horizontal="right" vertical="center"/>
    </xf>
    <xf numFmtId="4" fontId="35" fillId="0" borderId="168" xfId="1" applyNumberFormat="1" applyFont="1" applyFill="1" applyBorder="1" applyAlignment="1">
      <alignment horizontal="right" vertical="center"/>
    </xf>
    <xf numFmtId="4" fontId="35" fillId="0" borderId="92" xfId="1" applyNumberFormat="1" applyFont="1" applyFill="1" applyBorder="1" applyAlignment="1">
      <alignment horizontal="right" vertical="center"/>
    </xf>
    <xf numFmtId="37" fontId="50" fillId="23" borderId="262" xfId="1" applyFont="1" applyFill="1" applyBorder="1" applyAlignment="1">
      <alignment horizontal="right" vertical="center"/>
    </xf>
    <xf numFmtId="37" fontId="50" fillId="23" borderId="264" xfId="1" applyFont="1" applyFill="1" applyBorder="1" applyAlignment="1">
      <alignment horizontal="right" vertical="center"/>
    </xf>
    <xf numFmtId="37" fontId="50" fillId="34" borderId="256" xfId="1" applyFont="1" applyFill="1" applyBorder="1" applyAlignment="1">
      <alignment horizontal="right" vertical="center"/>
    </xf>
    <xf numFmtId="173" fontId="35" fillId="27" borderId="286" xfId="1" applyNumberFormat="1" applyFont="1" applyFill="1" applyBorder="1" applyAlignment="1">
      <alignment horizontal="right" vertical="center"/>
    </xf>
    <xf numFmtId="4" fontId="35" fillId="27" borderId="284" xfId="1" applyNumberFormat="1" applyFont="1" applyFill="1" applyBorder="1" applyAlignment="1">
      <alignment horizontal="right" vertical="center"/>
    </xf>
    <xf numFmtId="0" fontId="36" fillId="26" borderId="287" xfId="0" applyFont="1" applyFill="1" applyBorder="1"/>
    <xf numFmtId="37" fontId="36" fillId="0" borderId="149" xfId="1" applyFont="1" applyFill="1" applyBorder="1" applyAlignment="1" applyProtection="1">
      <alignment horizontal="left" vertical="center"/>
      <protection locked="0"/>
    </xf>
    <xf numFmtId="3" fontId="35" fillId="0" borderId="150" xfId="1" applyNumberFormat="1" applyFont="1" applyFill="1" applyBorder="1" applyAlignment="1" applyProtection="1">
      <alignment horizontal="right" vertical="center"/>
      <protection locked="0"/>
    </xf>
    <xf numFmtId="168" fontId="35" fillId="0" borderId="150" xfId="1" applyNumberFormat="1" applyFont="1" applyFill="1" applyBorder="1" applyAlignment="1" applyProtection="1">
      <alignment horizontal="right" vertical="center"/>
      <protection locked="0"/>
    </xf>
    <xf numFmtId="3" fontId="35" fillId="0" borderId="150" xfId="8" applyNumberFormat="1" applyFont="1" applyFill="1" applyBorder="1" applyAlignment="1" applyProtection="1">
      <alignment vertical="center"/>
      <protection locked="0"/>
    </xf>
    <xf numFmtId="168" fontId="35" fillId="0" borderId="150" xfId="8" applyNumberFormat="1" applyFont="1" applyFill="1" applyBorder="1" applyAlignment="1" applyProtection="1">
      <alignment vertical="center"/>
      <protection locked="0"/>
    </xf>
    <xf numFmtId="4" fontId="53" fillId="0" borderId="0" xfId="1" applyNumberFormat="1" applyFont="1" applyAlignment="1">
      <alignment horizontal="right"/>
    </xf>
    <xf numFmtId="0" fontId="63" fillId="0" borderId="0" xfId="7" applyFont="1" applyAlignment="1">
      <alignment horizontal="left"/>
    </xf>
    <xf numFmtId="4" fontId="63" fillId="0" borderId="0" xfId="7" applyNumberFormat="1" applyFont="1" applyAlignment="1">
      <alignment horizontal="center"/>
    </xf>
    <xf numFmtId="0" fontId="63" fillId="0" borderId="0" xfId="7" applyFont="1" applyAlignment="1">
      <alignment horizontal="center"/>
    </xf>
    <xf numFmtId="10" fontId="63" fillId="0" borderId="0" xfId="0" applyNumberFormat="1" applyFont="1" applyAlignment="1">
      <alignment horizontal="center"/>
    </xf>
    <xf numFmtId="0" fontId="50" fillId="21" borderId="255" xfId="0" applyFont="1" applyFill="1" applyBorder="1" applyAlignment="1">
      <alignment horizontal="center"/>
    </xf>
    <xf numFmtId="0" fontId="50" fillId="21" borderId="253" xfId="0" applyFont="1" applyFill="1" applyBorder="1" applyAlignment="1">
      <alignment horizontal="center"/>
    </xf>
    <xf numFmtId="0" fontId="50" fillId="21" borderId="257" xfId="0" applyFont="1" applyFill="1" applyBorder="1" applyAlignment="1">
      <alignment horizontal="center"/>
    </xf>
    <xf numFmtId="170" fontId="53" fillId="0" borderId="0" xfId="0" quotePrefix="1" applyNumberFormat="1" applyFont="1"/>
    <xf numFmtId="10" fontId="35" fillId="52" borderId="0" xfId="0" applyNumberFormat="1" applyFont="1" applyFill="1" applyAlignment="1">
      <alignment horizontal="center"/>
    </xf>
    <xf numFmtId="10" fontId="35" fillId="52" borderId="150" xfId="0" applyNumberFormat="1" applyFont="1" applyFill="1" applyBorder="1" applyAlignment="1">
      <alignment horizontal="center"/>
    </xf>
    <xf numFmtId="37" fontId="50" fillId="21" borderId="257" xfId="0" applyNumberFormat="1" applyFont="1" applyFill="1" applyBorder="1" applyAlignment="1">
      <alignment horizontal="right"/>
    </xf>
    <xf numFmtId="37" fontId="50" fillId="0" borderId="288" xfId="1" quotePrefix="1" applyFont="1" applyBorder="1" applyAlignment="1">
      <alignment horizontal="right" vertical="center"/>
    </xf>
    <xf numFmtId="37" fontId="50" fillId="34" borderId="262" xfId="1" applyFont="1" applyFill="1" applyBorder="1" applyAlignment="1">
      <alignment horizontal="right" vertical="center"/>
    </xf>
    <xf numFmtId="37" fontId="48" fillId="22" borderId="258" xfId="1" applyFont="1" applyFill="1" applyBorder="1" applyAlignment="1">
      <alignment horizontal="center" vertical="center"/>
    </xf>
    <xf numFmtId="37" fontId="50" fillId="53" borderId="262" xfId="1" quotePrefix="1" applyFont="1" applyFill="1" applyBorder="1" applyAlignment="1">
      <alignment horizontal="right" vertical="center"/>
    </xf>
    <xf numFmtId="37" fontId="50" fillId="53" borderId="262" xfId="1" applyFont="1" applyFill="1" applyBorder="1" applyAlignment="1">
      <alignment horizontal="right" vertical="center"/>
    </xf>
    <xf numFmtId="37" fontId="50" fillId="23" borderId="263" xfId="1" applyFont="1" applyFill="1" applyBorder="1" applyAlignment="1">
      <alignment horizontal="right" vertical="center"/>
    </xf>
    <xf numFmtId="37" fontId="50" fillId="0" borderId="262" xfId="1" applyFont="1" applyFill="1" applyBorder="1" applyAlignment="1">
      <alignment horizontal="right" vertical="center"/>
    </xf>
    <xf numFmtId="37" fontId="50" fillId="0" borderId="264" xfId="1" applyFont="1" applyFill="1" applyBorder="1" applyAlignment="1">
      <alignment horizontal="right" vertical="center"/>
    </xf>
    <xf numFmtId="37" fontId="50" fillId="0" borderId="257" xfId="1" applyFont="1" applyFill="1" applyBorder="1" applyAlignment="1">
      <alignment horizontal="right" vertical="center"/>
    </xf>
    <xf numFmtId="37" fontId="50" fillId="0" borderId="256" xfId="1" applyFont="1" applyFill="1" applyBorder="1" applyAlignment="1">
      <alignment horizontal="right" vertical="center"/>
    </xf>
    <xf numFmtId="37" fontId="50" fillId="0" borderId="255" xfId="1" applyFont="1" applyFill="1" applyBorder="1" applyAlignment="1">
      <alignment horizontal="right" vertical="center"/>
    </xf>
    <xf numFmtId="37" fontId="50" fillId="0" borderId="255" xfId="1" quotePrefix="1" applyFont="1" applyFill="1" applyBorder="1" applyAlignment="1">
      <alignment horizontal="right" vertical="center"/>
    </xf>
    <xf numFmtId="0" fontId="50" fillId="34" borderId="256" xfId="0" applyFont="1" applyFill="1" applyBorder="1" applyAlignment="1">
      <alignment horizontal="center" vertical="center"/>
    </xf>
    <xf numFmtId="37" fontId="50" fillId="34" borderId="257" xfId="1" applyFont="1" applyFill="1" applyBorder="1" applyAlignment="1">
      <alignment horizontal="right" vertical="center"/>
    </xf>
    <xf numFmtId="37" fontId="50" fillId="34" borderId="264" xfId="1" applyFont="1" applyFill="1" applyBorder="1" applyAlignment="1">
      <alignment horizontal="right" vertical="center"/>
    </xf>
    <xf numFmtId="37" fontId="4" fillId="0" borderId="267" xfId="8" applyNumberFormat="1" applyFont="1" applyFill="1" applyBorder="1"/>
    <xf numFmtId="3" fontId="2" fillId="0" borderId="0" xfId="0" quotePrefix="1" applyNumberFormat="1" applyFont="1"/>
    <xf numFmtId="0" fontId="2" fillId="0" borderId="289" xfId="0" applyFont="1" applyFill="1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0" xfId="0" quotePrefix="1" applyFill="1" applyBorder="1" applyAlignment="1">
      <alignment horizontal="center"/>
    </xf>
    <xf numFmtId="0" fontId="0" fillId="0" borderId="169" xfId="0" applyBorder="1"/>
    <xf numFmtId="0" fontId="0" fillId="0" borderId="0" xfId="0" applyBorder="1"/>
    <xf numFmtId="0" fontId="8" fillId="54" borderId="290" xfId="7" applyFont="1" applyFill="1" applyBorder="1" applyAlignment="1">
      <alignment horizontal="center" vertical="center" wrapText="1"/>
    </xf>
    <xf numFmtId="0" fontId="2" fillId="0" borderId="161" xfId="7" applyFill="1" applyBorder="1" applyAlignment="1">
      <alignment horizontal="center"/>
    </xf>
    <xf numFmtId="0" fontId="0" fillId="0" borderId="0" xfId="0" applyFill="1" applyBorder="1" applyAlignment="1" applyProtection="1">
      <alignment horizontal="center"/>
      <protection locked="0"/>
    </xf>
    <xf numFmtId="4" fontId="0" fillId="0" borderId="0" xfId="0" applyNumberFormat="1" applyFill="1" applyBorder="1" applyAlignment="1" applyProtection="1">
      <alignment horizontal="center"/>
      <protection locked="0"/>
    </xf>
    <xf numFmtId="10" fontId="0" fillId="0" borderId="149" xfId="0" applyNumberFormat="1" applyFill="1" applyBorder="1" applyAlignment="1" applyProtection="1">
      <alignment horizontal="center"/>
      <protection locked="0"/>
    </xf>
    <xf numFmtId="0" fontId="9" fillId="0" borderId="161" xfId="7" applyFont="1" applyFill="1" applyBorder="1" applyAlignment="1">
      <alignment horizontal="center"/>
    </xf>
    <xf numFmtId="0" fontId="2" fillId="0" borderId="161" xfId="0" applyFont="1" applyFill="1" applyBorder="1" applyAlignment="1">
      <alignment horizontal="center"/>
    </xf>
    <xf numFmtId="10" fontId="0" fillId="0" borderId="139" xfId="0" applyNumberFormat="1" applyFill="1" applyBorder="1" applyAlignment="1" applyProtection="1">
      <alignment horizontal="center"/>
      <protection locked="0"/>
    </xf>
    <xf numFmtId="10" fontId="8" fillId="54" borderId="0" xfId="7" applyNumberFormat="1" applyFont="1" applyFill="1" applyBorder="1" applyAlignment="1">
      <alignment horizontal="center" vertical="center" wrapText="1"/>
    </xf>
    <xf numFmtId="0" fontId="2" fillId="0" borderId="0" xfId="7" applyFill="1" applyBorder="1" applyAlignment="1">
      <alignment horizontal="center"/>
    </xf>
    <xf numFmtId="4" fontId="2" fillId="0" borderId="0" xfId="7" applyNumberFormat="1" applyFill="1" applyBorder="1" applyAlignment="1">
      <alignment horizontal="center"/>
    </xf>
    <xf numFmtId="0" fontId="9" fillId="0" borderId="0" xfId="7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0" fontId="0" fillId="0" borderId="149" xfId="0" quotePrefix="1" applyBorder="1" applyAlignment="1">
      <alignment horizontal="center"/>
    </xf>
    <xf numFmtId="4" fontId="9" fillId="0" borderId="0" xfId="0" applyNumberFormat="1" applyFont="1" applyBorder="1" applyAlignment="1">
      <alignment horizontal="center"/>
    </xf>
    <xf numFmtId="4" fontId="2" fillId="0" borderId="0" xfId="0" applyNumberFormat="1" applyFont="1" applyBorder="1" applyAlignment="1">
      <alignment horizontal="center"/>
    </xf>
    <xf numFmtId="0" fontId="0" fillId="0" borderId="149" xfId="0" quotePrefix="1" applyFill="1" applyBorder="1" applyAlignment="1">
      <alignment horizontal="center"/>
    </xf>
    <xf numFmtId="0" fontId="0" fillId="0" borderId="170" xfId="0" applyBorder="1" applyAlignment="1">
      <alignment horizontal="center"/>
    </xf>
    <xf numFmtId="0" fontId="0" fillId="0" borderId="139" xfId="0" quotePrefix="1" applyFill="1" applyBorder="1" applyAlignment="1">
      <alignment horizontal="center"/>
    </xf>
    <xf numFmtId="4" fontId="0" fillId="0" borderId="170" xfId="0" applyNumberFormat="1" applyBorder="1" applyAlignment="1">
      <alignment horizontal="center"/>
    </xf>
    <xf numFmtId="0" fontId="8" fillId="54" borderId="161" xfId="7" applyFont="1" applyFill="1" applyBorder="1" applyAlignment="1">
      <alignment horizontal="center" vertical="center" wrapText="1"/>
    </xf>
    <xf numFmtId="0" fontId="8" fillId="54" borderId="149" xfId="0" applyFont="1" applyFill="1" applyBorder="1" applyAlignment="1">
      <alignment horizontal="center" vertical="center" wrapText="1"/>
    </xf>
    <xf numFmtId="0" fontId="5" fillId="54" borderId="145" xfId="0" applyFont="1" applyFill="1" applyBorder="1" applyAlignment="1">
      <alignment horizontal="center" vertical="center" wrapText="1"/>
    </xf>
    <xf numFmtId="0" fontId="8" fillId="0" borderId="149" xfId="0" applyFont="1" applyFill="1" applyBorder="1" applyAlignment="1">
      <alignment horizontal="center" vertical="center" wrapText="1"/>
    </xf>
    <xf numFmtId="0" fontId="5" fillId="54" borderId="149" xfId="0" applyFont="1" applyFill="1" applyBorder="1" applyAlignment="1">
      <alignment horizontal="center" vertical="center" wrapText="1"/>
    </xf>
    <xf numFmtId="10" fontId="8" fillId="54" borderId="0" xfId="7" applyNumberFormat="1" applyFont="1" applyFill="1" applyBorder="1" applyAlignment="1">
      <alignment horizontal="left" vertical="top" wrapText="1"/>
    </xf>
    <xf numFmtId="2" fontId="36" fillId="0" borderId="196" xfId="1" applyNumberFormat="1" applyFont="1" applyBorder="1" applyAlignment="1">
      <alignment horizontal="right" vertical="center"/>
    </xf>
    <xf numFmtId="4" fontId="35" fillId="0" borderId="289" xfId="1" applyNumberFormat="1" applyFont="1" applyBorder="1" applyAlignment="1">
      <alignment horizontal="right" vertical="center"/>
    </xf>
    <xf numFmtId="2" fontId="35" fillId="0" borderId="161" xfId="8" applyNumberFormat="1" applyFont="1" applyBorder="1" applyAlignment="1">
      <alignment vertical="center"/>
    </xf>
    <xf numFmtId="2" fontId="36" fillId="0" borderId="290" xfId="1" applyNumberFormat="1" applyFont="1" applyBorder="1" applyAlignment="1">
      <alignment horizontal="right" vertical="center"/>
    </xf>
    <xf numFmtId="4" fontId="36" fillId="0" borderId="161" xfId="1" applyNumberFormat="1" applyFont="1" applyBorder="1" applyAlignment="1">
      <alignment horizontal="right" vertical="center"/>
    </xf>
    <xf numFmtId="4" fontId="35" fillId="0" borderId="282" xfId="1" applyNumberFormat="1" applyFont="1" applyBorder="1" applyAlignment="1">
      <alignment horizontal="right" vertical="center"/>
    </xf>
    <xf numFmtId="4" fontId="36" fillId="0" borderId="161" xfId="0" applyNumberFormat="1" applyFont="1" applyBorder="1" applyAlignment="1">
      <alignment vertical="center"/>
    </xf>
    <xf numFmtId="4" fontId="36" fillId="0" borderId="181" xfId="1" applyNumberFormat="1" applyFont="1" applyBorder="1" applyAlignment="1">
      <alignment horizontal="right" vertical="center"/>
    </xf>
    <xf numFmtId="4" fontId="36" fillId="0" borderId="161" xfId="8" applyNumberFormat="1" applyFont="1" applyBorder="1" applyAlignment="1">
      <alignment vertical="center"/>
    </xf>
    <xf numFmtId="4" fontId="35" fillId="0" borderId="181" xfId="1" applyNumberFormat="1" applyFont="1" applyBorder="1" applyAlignment="1">
      <alignment horizontal="right" vertical="center"/>
    </xf>
    <xf numFmtId="3" fontId="36" fillId="0" borderId="148" xfId="1" applyNumberFormat="1" applyFont="1" applyFill="1" applyBorder="1" applyAlignment="1">
      <alignment horizontal="center" vertical="center"/>
    </xf>
    <xf numFmtId="44" fontId="36" fillId="0" borderId="0" xfId="1" applyNumberFormat="1" applyFont="1" applyFill="1" applyBorder="1" applyAlignment="1">
      <alignment horizontal="right" vertical="center"/>
    </xf>
    <xf numFmtId="3" fontId="35" fillId="0" borderId="138" xfId="1" applyNumberFormat="1" applyFont="1" applyFill="1" applyBorder="1" applyAlignment="1">
      <alignment horizontal="center" vertical="center"/>
    </xf>
    <xf numFmtId="3" fontId="35" fillId="0" borderId="148" xfId="1" applyNumberFormat="1" applyFont="1" applyFill="1" applyBorder="1" applyAlignment="1">
      <alignment horizontal="center" vertical="center"/>
    </xf>
    <xf numFmtId="4" fontId="36" fillId="0" borderId="0" xfId="1" applyNumberFormat="1" applyFont="1" applyFill="1" applyBorder="1" applyAlignment="1">
      <alignment horizontal="right" vertical="center"/>
    </xf>
    <xf numFmtId="3" fontId="35" fillId="0" borderId="138" xfId="1" applyNumberFormat="1" applyFont="1" applyFill="1" applyBorder="1" applyAlignment="1">
      <alignment horizontal="right" vertical="center"/>
    </xf>
    <xf numFmtId="3" fontId="36" fillId="0" borderId="156" xfId="1" applyNumberFormat="1" applyFont="1" applyFill="1" applyBorder="1" applyAlignment="1">
      <alignment horizontal="right" vertical="center"/>
    </xf>
    <xf numFmtId="3" fontId="36" fillId="0" borderId="148" xfId="1" applyNumberFormat="1" applyFont="1" applyFill="1" applyBorder="1" applyAlignment="1">
      <alignment horizontal="right" vertical="center"/>
    </xf>
    <xf numFmtId="3" fontId="35" fillId="0" borderId="292" xfId="0" applyNumberFormat="1" applyFont="1" applyFill="1" applyBorder="1" applyAlignment="1">
      <alignment horizontal="right" vertical="center"/>
    </xf>
    <xf numFmtId="3" fontId="35" fillId="0" borderId="148" xfId="0" applyNumberFormat="1" applyFont="1" applyFill="1" applyBorder="1" applyAlignment="1">
      <alignment horizontal="right" vertical="center"/>
    </xf>
    <xf numFmtId="4" fontId="35" fillId="0" borderId="0" xfId="0" applyNumberFormat="1" applyFont="1" applyFill="1" applyBorder="1" applyAlignment="1">
      <alignment horizontal="right" vertical="center"/>
    </xf>
    <xf numFmtId="4" fontId="36" fillId="0" borderId="0" xfId="0" applyNumberFormat="1" applyFont="1" applyFill="1" applyBorder="1" applyAlignment="1">
      <alignment horizontal="right" vertical="center"/>
    </xf>
    <xf numFmtId="3" fontId="36" fillId="0" borderId="152" xfId="1" applyNumberFormat="1" applyFont="1" applyFill="1" applyBorder="1" applyAlignment="1">
      <alignment horizontal="right" vertical="center"/>
    </xf>
    <xf numFmtId="3" fontId="35" fillId="0" borderId="148" xfId="1" applyNumberFormat="1" applyFont="1" applyFill="1" applyBorder="1" applyAlignment="1">
      <alignment horizontal="right" vertical="center"/>
    </xf>
    <xf numFmtId="4" fontId="35" fillId="0" borderId="0" xfId="1" applyNumberFormat="1" applyFont="1" applyFill="1" applyBorder="1" applyAlignment="1">
      <alignment horizontal="right" vertical="center"/>
    </xf>
    <xf numFmtId="3" fontId="35" fillId="0" borderId="292" xfId="1" applyNumberFormat="1" applyFont="1" applyFill="1" applyBorder="1" applyAlignment="1">
      <alignment horizontal="right" vertical="center"/>
    </xf>
    <xf numFmtId="3" fontId="35" fillId="0" borderId="138" xfId="0" applyNumberFormat="1" applyFont="1" applyFill="1" applyBorder="1" applyAlignment="1">
      <alignment horizontal="right" vertical="center"/>
    </xf>
    <xf numFmtId="3" fontId="35" fillId="0" borderId="152" xfId="1" applyNumberFormat="1" applyFont="1" applyFill="1" applyBorder="1" applyAlignment="1">
      <alignment horizontal="right" vertical="center"/>
    </xf>
    <xf numFmtId="3" fontId="35" fillId="27" borderId="283" xfId="1" applyNumberFormat="1" applyFont="1" applyFill="1" applyBorder="1" applyAlignment="1">
      <alignment horizontal="right" vertical="center"/>
    </xf>
    <xf numFmtId="44" fontId="35" fillId="36" borderId="291" xfId="14" applyFont="1" applyFill="1" applyBorder="1" applyAlignment="1">
      <alignment horizontal="right" vertical="center"/>
    </xf>
    <xf numFmtId="0" fontId="36" fillId="0" borderId="147" xfId="0" applyFont="1" applyFill="1" applyBorder="1"/>
    <xf numFmtId="0" fontId="2" fillId="0" borderId="0" xfId="0" quotePrefix="1" applyFont="1" applyAlignment="1">
      <alignment horizontal="left"/>
    </xf>
    <xf numFmtId="0" fontId="29" fillId="0" borderId="167" xfId="8" applyFont="1" applyBorder="1"/>
    <xf numFmtId="10" fontId="35" fillId="35" borderId="0" xfId="0" quotePrefix="1" applyNumberFormat="1" applyFont="1" applyFill="1" applyAlignment="1">
      <alignment horizontal="center"/>
    </xf>
    <xf numFmtId="169" fontId="53" fillId="0" borderId="0" xfId="0" applyNumberFormat="1" applyFont="1" applyFill="1" applyAlignment="1">
      <alignment horizontal="right"/>
    </xf>
    <xf numFmtId="168" fontId="36" fillId="46" borderId="0" xfId="0" applyNumberFormat="1" applyFont="1" applyFill="1"/>
    <xf numFmtId="0" fontId="36" fillId="46" borderId="0" xfId="0" applyFont="1" applyFill="1" applyAlignment="1">
      <alignment horizontal="center"/>
    </xf>
    <xf numFmtId="1" fontId="36" fillId="46" borderId="0" xfId="0" applyNumberFormat="1" applyFont="1" applyFill="1" applyAlignment="1">
      <alignment horizontal="center"/>
    </xf>
    <xf numFmtId="1" fontId="53" fillId="0" borderId="134" xfId="0" applyNumberFormat="1" applyFont="1" applyBorder="1"/>
    <xf numFmtId="10" fontId="35" fillId="49" borderId="0" xfId="0" applyNumberFormat="1" applyFont="1" applyFill="1" applyAlignment="1">
      <alignment horizontal="center"/>
    </xf>
    <xf numFmtId="0" fontId="36" fillId="0" borderId="0" xfId="0" applyFont="1" applyFill="1"/>
    <xf numFmtId="0" fontId="0" fillId="56" borderId="0" xfId="0" applyFill="1"/>
    <xf numFmtId="0" fontId="36" fillId="0" borderId="0" xfId="0" quotePrefix="1" applyFont="1" applyFill="1"/>
    <xf numFmtId="168" fontId="57" fillId="45" borderId="0" xfId="0" applyNumberFormat="1" applyFont="1" applyFill="1"/>
    <xf numFmtId="0" fontId="35" fillId="45" borderId="170" xfId="0" applyFont="1" applyFill="1" applyBorder="1"/>
    <xf numFmtId="0" fontId="35" fillId="45" borderId="0" xfId="0" applyFont="1" applyFill="1"/>
    <xf numFmtId="0" fontId="35" fillId="36" borderId="0" xfId="0" applyFont="1" applyFill="1"/>
    <xf numFmtId="0" fontId="35" fillId="45" borderId="0" xfId="0" applyFont="1" applyFill="1" applyBorder="1"/>
    <xf numFmtId="10" fontId="35" fillId="57" borderId="0" xfId="0" applyNumberFormat="1" applyFont="1" applyFill="1" applyAlignment="1">
      <alignment horizontal="center"/>
    </xf>
    <xf numFmtId="10" fontId="58" fillId="45" borderId="0" xfId="0" applyNumberFormat="1" applyFont="1" applyFill="1"/>
    <xf numFmtId="38" fontId="29" fillId="0" borderId="0" xfId="8" applyNumberFormat="1" applyFont="1"/>
    <xf numFmtId="3" fontId="35" fillId="42" borderId="167" xfId="1" applyNumberFormat="1" applyFont="1" applyFill="1" applyBorder="1" applyAlignment="1" applyProtection="1">
      <alignment horizontal="right" vertical="center"/>
      <protection locked="0"/>
    </xf>
    <xf numFmtId="3" fontId="35" fillId="42" borderId="170" xfId="1" applyNumberFormat="1" applyFont="1" applyFill="1" applyBorder="1" applyAlignment="1" applyProtection="1">
      <alignment horizontal="right" vertical="center"/>
      <protection locked="0"/>
    </xf>
    <xf numFmtId="3" fontId="35" fillId="42" borderId="0" xfId="1" applyNumberFormat="1" applyFont="1" applyFill="1" applyAlignment="1" applyProtection="1">
      <alignment horizontal="right" vertical="center"/>
      <protection locked="0"/>
    </xf>
    <xf numFmtId="3" fontId="35" fillId="42" borderId="169" xfId="1" applyNumberFormat="1" applyFont="1" applyFill="1" applyBorder="1" applyAlignment="1" applyProtection="1">
      <alignment horizontal="right" vertical="center"/>
      <protection locked="0"/>
    </xf>
    <xf numFmtId="3" fontId="35" fillId="42" borderId="92" xfId="0" applyNumberFormat="1" applyFont="1" applyFill="1" applyBorder="1" applyAlignment="1" applyProtection="1">
      <alignment horizontal="right" vertical="center"/>
      <protection locked="0"/>
    </xf>
    <xf numFmtId="3" fontId="35" fillId="42" borderId="170" xfId="0" applyNumberFormat="1" applyFont="1" applyFill="1" applyBorder="1" applyAlignment="1" applyProtection="1">
      <alignment horizontal="right" vertical="center"/>
      <protection locked="0"/>
    </xf>
    <xf numFmtId="3" fontId="35" fillId="42" borderId="0" xfId="0" applyNumberFormat="1" applyFont="1" applyFill="1" applyAlignment="1" applyProtection="1">
      <alignment horizontal="right" vertical="center"/>
      <protection locked="0"/>
    </xf>
    <xf numFmtId="3" fontId="35" fillId="42" borderId="92" xfId="1" applyNumberFormat="1" applyFont="1" applyFill="1" applyBorder="1" applyAlignment="1" applyProtection="1">
      <alignment horizontal="right" vertical="center"/>
      <protection locked="0"/>
    </xf>
    <xf numFmtId="3" fontId="53" fillId="42" borderId="169" xfId="1" applyNumberFormat="1" applyFont="1" applyFill="1" applyBorder="1" applyAlignment="1" applyProtection="1">
      <alignment horizontal="right" vertical="center"/>
      <protection locked="0"/>
    </xf>
    <xf numFmtId="3" fontId="35" fillId="42" borderId="0" xfId="8" applyNumberFormat="1" applyFont="1" applyFill="1" applyAlignment="1">
      <alignment horizontal="right"/>
    </xf>
    <xf numFmtId="3" fontId="35" fillId="10" borderId="166" xfId="1" applyNumberFormat="1" applyFont="1" applyFill="1" applyBorder="1" applyAlignment="1" applyProtection="1">
      <alignment horizontal="right" vertical="center"/>
      <protection locked="0"/>
    </xf>
    <xf numFmtId="3" fontId="53" fillId="0" borderId="0" xfId="8" applyNumberFormat="1" applyFont="1" applyAlignment="1">
      <alignment horizontal="right"/>
    </xf>
    <xf numFmtId="3" fontId="36" fillId="0" borderId="0" xfId="8" applyNumberFormat="1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Border="1" applyAlignment="1">
      <alignment horizontal="center"/>
    </xf>
    <xf numFmtId="168" fontId="53" fillId="0" borderId="149" xfId="1" applyNumberFormat="1" applyFont="1" applyBorder="1" applyAlignment="1">
      <alignment horizontal="right"/>
    </xf>
    <xf numFmtId="3" fontId="35" fillId="0" borderId="148" xfId="1" applyNumberFormat="1" applyFont="1" applyFill="1" applyBorder="1" applyAlignment="1" applyProtection="1">
      <alignment horizontal="center" vertical="center"/>
      <protection locked="0"/>
    </xf>
    <xf numFmtId="3" fontId="35" fillId="0" borderId="148" xfId="0" applyNumberFormat="1" applyFont="1" applyFill="1" applyBorder="1" applyAlignment="1" applyProtection="1">
      <alignment horizontal="center" vertical="center"/>
      <protection locked="0"/>
    </xf>
    <xf numFmtId="3" fontId="53" fillId="0" borderId="148" xfId="0" applyNumberFormat="1" applyFont="1" applyFill="1" applyBorder="1" applyAlignment="1" applyProtection="1">
      <alignment horizontal="center" vertical="center"/>
      <protection locked="0"/>
    </xf>
    <xf numFmtId="3" fontId="53" fillId="0" borderId="148" xfId="1" applyNumberFormat="1" applyFont="1" applyFill="1" applyBorder="1" applyAlignment="1" applyProtection="1">
      <alignment horizontal="center" vertical="center"/>
      <protection locked="0"/>
    </xf>
    <xf numFmtId="3" fontId="53" fillId="0" borderId="148" xfId="8" applyNumberFormat="1" applyFont="1" applyFill="1" applyBorder="1" applyAlignment="1">
      <alignment horizontal="center"/>
    </xf>
    <xf numFmtId="0" fontId="35" fillId="0" borderId="148" xfId="1" applyNumberFormat="1" applyFont="1" applyFill="1" applyBorder="1" applyAlignment="1" applyProtection="1">
      <alignment vertical="center"/>
      <protection locked="0"/>
    </xf>
    <xf numFmtId="37" fontId="35" fillId="0" borderId="0" xfId="1" applyFont="1" applyFill="1" applyAlignment="1" applyProtection="1">
      <alignment horizontal="left" vertical="center"/>
      <protection locked="0"/>
    </xf>
    <xf numFmtId="37" fontId="36" fillId="0" borderId="149" xfId="1" applyFont="1" applyFill="1" applyBorder="1" applyAlignment="1" applyProtection="1">
      <alignment vertical="center"/>
      <protection locked="0"/>
    </xf>
    <xf numFmtId="0" fontId="36" fillId="0" borderId="138" xfId="1" applyNumberFormat="1" applyFont="1" applyFill="1" applyBorder="1" applyAlignment="1" applyProtection="1">
      <alignment horizontal="right" vertical="center"/>
      <protection locked="0"/>
    </xf>
    <xf numFmtId="37" fontId="36" fillId="0" borderId="170" xfId="1" applyFont="1" applyFill="1" applyBorder="1" applyAlignment="1" applyProtection="1">
      <alignment vertical="center"/>
      <protection locked="0"/>
    </xf>
    <xf numFmtId="37" fontId="36" fillId="0" borderId="139" xfId="1" applyFont="1" applyFill="1" applyBorder="1" applyAlignment="1" applyProtection="1">
      <alignment horizontal="left" vertical="center"/>
      <protection locked="0"/>
    </xf>
    <xf numFmtId="0" fontId="35" fillId="0" borderId="156" xfId="1" applyNumberFormat="1" applyFont="1" applyFill="1" applyBorder="1" applyAlignment="1" applyProtection="1">
      <alignment vertical="center"/>
      <protection locked="0"/>
    </xf>
    <xf numFmtId="37" fontId="35" fillId="0" borderId="169" xfId="1" applyFont="1" applyFill="1" applyBorder="1" applyAlignment="1" applyProtection="1">
      <alignment vertical="center"/>
      <protection locked="0"/>
    </xf>
    <xf numFmtId="37" fontId="36" fillId="0" borderId="145" xfId="1" applyFont="1" applyFill="1" applyBorder="1" applyAlignment="1" applyProtection="1">
      <alignment vertical="center"/>
      <protection locked="0"/>
    </xf>
    <xf numFmtId="0" fontId="36" fillId="0" borderId="148" xfId="1" applyNumberFormat="1" applyFont="1" applyFill="1" applyBorder="1" applyAlignment="1" applyProtection="1">
      <alignment horizontal="right" vertical="center"/>
      <protection locked="0"/>
    </xf>
    <xf numFmtId="37" fontId="36" fillId="0" borderId="0" xfId="1" applyFont="1" applyFill="1" applyAlignment="1" applyProtection="1">
      <alignment horizontal="right" vertical="center"/>
      <protection locked="0"/>
    </xf>
    <xf numFmtId="0" fontId="35" fillId="0" borderId="138" xfId="1" applyNumberFormat="1" applyFont="1" applyFill="1" applyBorder="1" applyAlignment="1" applyProtection="1">
      <alignment vertical="center"/>
      <protection locked="0"/>
    </xf>
    <xf numFmtId="37" fontId="35" fillId="0" borderId="170" xfId="1" applyFont="1" applyFill="1" applyBorder="1" applyAlignment="1" applyProtection="1">
      <alignment vertical="center"/>
      <protection locked="0"/>
    </xf>
    <xf numFmtId="37" fontId="35" fillId="0" borderId="139" xfId="1" applyFont="1" applyFill="1" applyBorder="1" applyAlignment="1" applyProtection="1">
      <alignment horizontal="right" vertical="center"/>
      <protection locked="0"/>
    </xf>
    <xf numFmtId="37" fontId="36" fillId="0" borderId="0" xfId="1" applyFont="1" applyFill="1" applyAlignment="1" applyProtection="1">
      <alignment vertical="center"/>
      <protection locked="0"/>
    </xf>
    <xf numFmtId="37" fontId="35" fillId="0" borderId="149" xfId="1" applyFont="1" applyFill="1" applyBorder="1" applyAlignment="1" applyProtection="1">
      <alignment horizontal="right" vertical="center"/>
      <protection locked="0"/>
    </xf>
    <xf numFmtId="0" fontId="36" fillId="0" borderId="148" xfId="1" applyNumberFormat="1" applyFont="1" applyFill="1" applyBorder="1" applyAlignment="1" applyProtection="1">
      <alignment vertical="center"/>
      <protection locked="0"/>
    </xf>
    <xf numFmtId="0" fontId="35" fillId="0" borderId="148" xfId="1" applyNumberFormat="1" applyFont="1" applyFill="1" applyBorder="1" applyAlignment="1" applyProtection="1">
      <alignment horizontal="right" vertical="center"/>
      <protection locked="0"/>
    </xf>
    <xf numFmtId="37" fontId="35" fillId="0" borderId="0" xfId="1" applyFont="1" applyFill="1" applyAlignment="1" applyProtection="1">
      <alignment horizontal="right" vertical="center"/>
      <protection locked="0"/>
    </xf>
    <xf numFmtId="0" fontId="36" fillId="0" borderId="0" xfId="8" applyFont="1" applyFill="1"/>
    <xf numFmtId="0" fontId="36" fillId="0" borderId="149" xfId="8" applyFont="1" applyFill="1" applyBorder="1" applyAlignment="1">
      <alignment horizontal="left"/>
    </xf>
    <xf numFmtId="0" fontId="36" fillId="0" borderId="152" xfId="1" applyNumberFormat="1" applyFont="1" applyFill="1" applyBorder="1" applyAlignment="1" applyProtection="1">
      <alignment horizontal="right" vertical="center"/>
      <protection locked="0"/>
    </xf>
    <xf numFmtId="37" fontId="36" fillId="0" borderId="92" xfId="1" applyFont="1" applyFill="1" applyBorder="1" applyAlignment="1" applyProtection="1">
      <alignment horizontal="right" vertical="center"/>
      <protection locked="0"/>
    </xf>
    <xf numFmtId="37" fontId="36" fillId="0" borderId="153" xfId="1" applyFont="1" applyFill="1" applyBorder="1" applyAlignment="1" applyProtection="1">
      <alignment horizontal="left" vertical="center"/>
      <protection locked="0"/>
    </xf>
    <xf numFmtId="178" fontId="53" fillId="0" borderId="0" xfId="0" applyNumberFormat="1" applyFont="1" applyFill="1" applyAlignment="1">
      <alignment horizontal="right"/>
    </xf>
    <xf numFmtId="40" fontId="53" fillId="0" borderId="0" xfId="0" applyNumberFormat="1" applyFont="1"/>
    <xf numFmtId="40" fontId="53" fillId="0" borderId="0" xfId="0" quotePrefix="1" applyNumberFormat="1" applyFont="1"/>
    <xf numFmtId="40" fontId="53" fillId="0" borderId="0" xfId="0" applyNumberFormat="1" applyFont="1" applyAlignment="1">
      <alignment horizontal="right"/>
    </xf>
    <xf numFmtId="168" fontId="35" fillId="0" borderId="134" xfId="1" applyNumberFormat="1" applyFont="1" applyFill="1" applyBorder="1" applyAlignment="1" applyProtection="1">
      <alignment horizontal="right" vertical="center"/>
      <protection locked="0"/>
    </xf>
    <xf numFmtId="168" fontId="35" fillId="0" borderId="146" xfId="1" applyNumberFormat="1" applyFont="1" applyFill="1" applyBorder="1" applyAlignment="1" applyProtection="1">
      <alignment horizontal="right" vertical="center"/>
      <protection locked="0"/>
    </xf>
    <xf numFmtId="168" fontId="35" fillId="0" borderId="154" xfId="1" applyNumberFormat="1" applyFont="1" applyFill="1" applyBorder="1" applyAlignment="1" applyProtection="1">
      <alignment horizontal="right" vertical="center"/>
      <protection locked="0"/>
    </xf>
    <xf numFmtId="168" fontId="35" fillId="0" borderId="150" xfId="1" applyNumberFormat="1" applyFont="1" applyFill="1" applyBorder="1" applyAlignment="1">
      <alignment horizontal="right" vertical="center"/>
    </xf>
    <xf numFmtId="168" fontId="35" fillId="0" borderId="134" xfId="1" applyNumberFormat="1" applyFont="1" applyFill="1" applyBorder="1" applyAlignment="1">
      <alignment horizontal="right" vertical="center"/>
    </xf>
    <xf numFmtId="168" fontId="53" fillId="0" borderId="146" xfId="1" applyNumberFormat="1" applyFont="1" applyFill="1" applyBorder="1" applyAlignment="1" applyProtection="1">
      <alignment horizontal="right" vertical="center"/>
      <protection locked="0"/>
    </xf>
    <xf numFmtId="168" fontId="35" fillId="0" borderId="150" xfId="8" applyNumberFormat="1" applyFont="1" applyFill="1" applyBorder="1"/>
    <xf numFmtId="168" fontId="35" fillId="0" borderId="160" xfId="1" applyNumberFormat="1" applyFont="1" applyFill="1" applyBorder="1" applyAlignment="1">
      <alignment horizontal="right" vertical="center"/>
    </xf>
    <xf numFmtId="168" fontId="53" fillId="0" borderId="150" xfId="1" applyNumberFormat="1" applyFont="1" applyFill="1" applyBorder="1" applyAlignment="1" applyProtection="1">
      <alignment horizontal="right" vertical="center"/>
      <protection locked="0"/>
    </xf>
    <xf numFmtId="0" fontId="0" fillId="0" borderId="0" xfId="0" applyAlignment="1">
      <alignment horizontal="center"/>
    </xf>
    <xf numFmtId="37" fontId="66" fillId="0" borderId="0" xfId="8" applyNumberFormat="1" applyFont="1" applyFill="1"/>
    <xf numFmtId="37" fontId="66" fillId="0" borderId="0" xfId="1" applyFont="1" applyFill="1" applyAlignment="1">
      <alignment vertical="center"/>
    </xf>
    <xf numFmtId="0" fontId="66" fillId="0" borderId="0" xfId="8" applyFont="1" applyFill="1"/>
    <xf numFmtId="4" fontId="36" fillId="0" borderId="134" xfId="1" applyNumberFormat="1" applyFont="1" applyBorder="1" applyAlignment="1">
      <alignment horizontal="right" vertical="center"/>
    </xf>
    <xf numFmtId="4" fontId="36" fillId="0" borderId="289" xfId="0" applyNumberFormat="1" applyFont="1" applyBorder="1" applyAlignment="1">
      <alignment vertical="center"/>
    </xf>
    <xf numFmtId="4" fontId="36" fillId="0" borderId="170" xfId="0" applyNumberFormat="1" applyFont="1" applyFill="1" applyBorder="1" applyAlignment="1">
      <alignment horizontal="right" vertical="center"/>
    </xf>
    <xf numFmtId="10" fontId="35" fillId="49" borderId="0" xfId="0" quotePrefix="1" applyNumberFormat="1" applyFont="1" applyFill="1" applyAlignment="1">
      <alignment horizontal="center"/>
    </xf>
    <xf numFmtId="1" fontId="35" fillId="58" borderId="150" xfId="0" applyNumberFormat="1" applyFont="1" applyFill="1" applyBorder="1" applyAlignment="1">
      <alignment horizontal="center"/>
    </xf>
    <xf numFmtId="0" fontId="0" fillId="58" borderId="0" xfId="0" applyFill="1"/>
    <xf numFmtId="3" fontId="35" fillId="42" borderId="0" xfId="1" applyNumberFormat="1" applyFont="1" applyFill="1" applyBorder="1" applyAlignment="1" applyProtection="1">
      <alignment horizontal="right" vertical="center"/>
      <protection locked="0"/>
    </xf>
    <xf numFmtId="4" fontId="35" fillId="0" borderId="134" xfId="1" applyNumberFormat="1" applyFont="1" applyBorder="1" applyAlignment="1" applyProtection="1">
      <alignment horizontal="right" vertical="center"/>
      <protection locked="0"/>
    </xf>
    <xf numFmtId="3" fontId="35" fillId="0" borderId="149" xfId="1" applyNumberFormat="1" applyFont="1" applyBorder="1" applyAlignment="1" applyProtection="1">
      <alignment horizontal="right" vertical="center"/>
      <protection locked="0"/>
    </xf>
    <xf numFmtId="10" fontId="35" fillId="0" borderId="134" xfId="0" applyNumberFormat="1" applyFont="1" applyBorder="1" applyAlignment="1">
      <alignment horizontal="center"/>
    </xf>
    <xf numFmtId="10" fontId="35" fillId="48" borderId="170" xfId="0" applyNumberFormat="1" applyFont="1" applyFill="1" applyBorder="1" applyAlignment="1">
      <alignment horizontal="center"/>
    </xf>
    <xf numFmtId="1" fontId="35" fillId="32" borderId="0" xfId="0" applyNumberFormat="1" applyFont="1" applyFill="1" applyAlignment="1">
      <alignment horizontal="center"/>
    </xf>
    <xf numFmtId="1" fontId="35" fillId="49" borderId="0" xfId="0" applyNumberFormat="1" applyFont="1" applyFill="1" applyAlignment="1">
      <alignment horizontal="center"/>
    </xf>
    <xf numFmtId="10" fontId="35" fillId="48" borderId="150" xfId="0" applyNumberFormat="1" applyFont="1" applyFill="1" applyBorder="1" applyAlignment="1">
      <alignment horizontal="center"/>
    </xf>
    <xf numFmtId="1" fontId="35" fillId="35" borderId="0" xfId="0" applyNumberFormat="1" applyFont="1" applyFill="1" applyAlignment="1">
      <alignment horizontal="center"/>
    </xf>
    <xf numFmtId="168" fontId="36" fillId="0" borderId="0" xfId="0" applyNumberFormat="1" applyFont="1" applyFill="1"/>
    <xf numFmtId="0" fontId="0" fillId="0" borderId="0" xfId="0" applyFill="1"/>
    <xf numFmtId="0" fontId="68" fillId="0" borderId="0" xfId="0" applyFont="1" applyFill="1"/>
    <xf numFmtId="0" fontId="69" fillId="0" borderId="0" xfId="0" applyFont="1" applyFill="1"/>
    <xf numFmtId="0" fontId="32" fillId="0" borderId="0" xfId="0" applyFont="1"/>
    <xf numFmtId="4" fontId="0" fillId="0" borderId="0" xfId="0" applyNumberFormat="1"/>
    <xf numFmtId="0" fontId="67" fillId="0" borderId="0" xfId="0" applyFont="1"/>
    <xf numFmtId="170" fontId="67" fillId="0" borderId="0" xfId="0" applyNumberFormat="1" applyFont="1" applyFill="1"/>
    <xf numFmtId="37" fontId="50" fillId="0" borderId="262" xfId="1" quotePrefix="1" applyFont="1" applyFill="1" applyBorder="1" applyAlignment="1">
      <alignment horizontal="right" vertical="center"/>
    </xf>
    <xf numFmtId="37" fontId="50" fillId="0" borderId="263" xfId="1" applyFont="1" applyFill="1" applyBorder="1" applyAlignment="1">
      <alignment horizontal="right" vertical="center"/>
    </xf>
    <xf numFmtId="166" fontId="53" fillId="51" borderId="0" xfId="0" applyNumberFormat="1" applyFont="1" applyFill="1"/>
    <xf numFmtId="37" fontId="70" fillId="0" borderId="0" xfId="8" applyNumberFormat="1" applyFont="1" applyAlignment="1">
      <alignment horizontal="center"/>
    </xf>
    <xf numFmtId="0" fontId="70" fillId="0" borderId="0" xfId="8" applyFont="1" applyAlignment="1">
      <alignment horizontal="center"/>
    </xf>
    <xf numFmtId="0" fontId="0" fillId="0" borderId="0" xfId="0" applyAlignment="1">
      <alignment horizontal="center"/>
    </xf>
    <xf numFmtId="3" fontId="35" fillId="0" borderId="134" xfId="1" applyNumberFormat="1" applyFont="1" applyFill="1" applyBorder="1" applyAlignment="1" applyProtection="1">
      <alignment horizontal="right" vertical="center"/>
      <protection locked="0"/>
    </xf>
    <xf numFmtId="3" fontId="35" fillId="0" borderId="136" xfId="1" quotePrefix="1" applyNumberFormat="1" applyFont="1" applyFill="1" applyBorder="1" applyAlignment="1" applyProtection="1">
      <alignment horizontal="right" vertical="center"/>
      <protection locked="0"/>
    </xf>
    <xf numFmtId="3" fontId="35" fillId="0" borderId="170" xfId="1" applyNumberFormat="1" applyFont="1" applyFill="1" applyBorder="1" applyAlignment="1" applyProtection="1">
      <alignment horizontal="right" vertical="center"/>
      <protection locked="0"/>
    </xf>
    <xf numFmtId="4" fontId="35" fillId="0" borderId="144" xfId="1" applyNumberFormat="1" applyFont="1" applyFill="1" applyBorder="1" applyAlignment="1">
      <alignment horizontal="right" vertical="center"/>
    </xf>
    <xf numFmtId="3" fontId="35" fillId="0" borderId="146" xfId="1" applyNumberFormat="1" applyFont="1" applyFill="1" applyBorder="1" applyAlignment="1" applyProtection="1">
      <alignment horizontal="right" vertical="center"/>
      <protection locked="0"/>
    </xf>
    <xf numFmtId="3" fontId="35" fillId="0" borderId="222" xfId="1" applyNumberFormat="1" applyFont="1" applyFill="1" applyBorder="1" applyAlignment="1" applyProtection="1">
      <alignment horizontal="right" vertical="center"/>
      <protection locked="0"/>
    </xf>
    <xf numFmtId="3" fontId="35" fillId="0" borderId="169" xfId="1" applyNumberFormat="1" applyFont="1" applyFill="1" applyBorder="1" applyAlignment="1" applyProtection="1">
      <alignment horizontal="right" vertical="center"/>
      <protection locked="0"/>
    </xf>
    <xf numFmtId="4" fontId="35" fillId="0" borderId="147" xfId="1" applyNumberFormat="1" applyFont="1" applyFill="1" applyBorder="1" applyAlignment="1">
      <alignment horizontal="right" vertical="center"/>
    </xf>
    <xf numFmtId="3" fontId="35" fillId="0" borderId="221" xfId="1" quotePrefix="1" applyNumberFormat="1" applyFont="1" applyFill="1" applyBorder="1" applyAlignment="1" applyProtection="1">
      <alignment horizontal="right" vertical="center"/>
      <protection locked="0"/>
    </xf>
    <xf numFmtId="3" fontId="35" fillId="0" borderId="0" xfId="1" applyNumberFormat="1" applyFont="1" applyFill="1" applyAlignment="1" applyProtection="1">
      <alignment horizontal="right" vertical="center"/>
      <protection locked="0"/>
    </xf>
    <xf numFmtId="4" fontId="35" fillId="0" borderId="151" xfId="1" applyNumberFormat="1" applyFont="1" applyFill="1" applyBorder="1" applyAlignment="1">
      <alignment horizontal="right" vertical="center"/>
    </xf>
    <xf numFmtId="3" fontId="35" fillId="0" borderId="221" xfId="1" applyNumberFormat="1" applyFont="1" applyFill="1" applyBorder="1" applyAlignment="1" applyProtection="1">
      <alignment horizontal="right" vertical="center"/>
      <protection locked="0"/>
    </xf>
    <xf numFmtId="3" fontId="35" fillId="0" borderId="154" xfId="1" applyNumberFormat="1" applyFont="1" applyFill="1" applyBorder="1" applyAlignment="1" applyProtection="1">
      <alignment horizontal="right" vertical="center"/>
      <protection locked="0"/>
    </xf>
    <xf numFmtId="3" fontId="35" fillId="0" borderId="223" xfId="0" quotePrefix="1" applyNumberFormat="1" applyFont="1" applyFill="1" applyBorder="1" applyAlignment="1" applyProtection="1">
      <alignment horizontal="right" vertical="center"/>
      <protection locked="0"/>
    </xf>
    <xf numFmtId="3" fontId="35" fillId="0" borderId="92" xfId="0" applyNumberFormat="1" applyFont="1" applyFill="1" applyBorder="1" applyAlignment="1" applyProtection="1">
      <alignment horizontal="right" vertical="center"/>
      <protection locked="0"/>
    </xf>
    <xf numFmtId="4" fontId="35" fillId="0" borderId="155" xfId="1" applyNumberFormat="1" applyFont="1" applyFill="1" applyBorder="1" applyAlignment="1">
      <alignment horizontal="right" vertical="center"/>
    </xf>
    <xf numFmtId="3" fontId="35" fillId="0" borderId="136" xfId="1" applyNumberFormat="1" applyFont="1" applyFill="1" applyBorder="1" applyAlignment="1">
      <alignment horizontal="right" vertical="center"/>
    </xf>
    <xf numFmtId="3" fontId="35" fillId="0" borderId="170" xfId="0" applyNumberFormat="1" applyFont="1" applyFill="1" applyBorder="1" applyAlignment="1" applyProtection="1">
      <alignment horizontal="right" vertical="center"/>
      <protection locked="0"/>
    </xf>
    <xf numFmtId="4" fontId="35" fillId="0" borderId="144" xfId="0" applyNumberFormat="1" applyFont="1" applyFill="1" applyBorder="1" applyAlignment="1">
      <alignment horizontal="right" vertical="center"/>
    </xf>
    <xf numFmtId="3" fontId="35" fillId="0" borderId="0" xfId="0" applyNumberFormat="1" applyFont="1" applyFill="1" applyAlignment="1" applyProtection="1">
      <alignment horizontal="right" vertical="center"/>
      <protection locked="0"/>
    </xf>
    <xf numFmtId="4" fontId="35" fillId="0" borderId="151" xfId="0" applyNumberFormat="1" applyFont="1" applyFill="1" applyBorder="1" applyAlignment="1">
      <alignment horizontal="right" vertical="center"/>
    </xf>
    <xf numFmtId="4" fontId="35" fillId="0" borderId="150" xfId="1" applyNumberFormat="1" applyFont="1" applyFill="1" applyBorder="1" applyAlignment="1" applyProtection="1">
      <alignment horizontal="right" vertical="center"/>
      <protection locked="0"/>
    </xf>
    <xf numFmtId="4" fontId="35" fillId="0" borderId="134" xfId="1" applyNumberFormat="1" applyFont="1" applyFill="1" applyBorder="1" applyAlignment="1" applyProtection="1">
      <alignment horizontal="right" vertical="center"/>
      <protection locked="0"/>
    </xf>
    <xf numFmtId="3" fontId="35" fillId="0" borderId="136" xfId="1" applyNumberFormat="1" applyFont="1" applyFill="1" applyBorder="1" applyAlignment="1" applyProtection="1">
      <alignment horizontal="right" vertical="center"/>
      <protection locked="0"/>
    </xf>
    <xf numFmtId="3" fontId="35" fillId="0" borderId="150" xfId="1" applyNumberFormat="1" applyFont="1" applyFill="1" applyBorder="1" applyAlignment="1">
      <alignment horizontal="right" vertical="center"/>
    </xf>
    <xf numFmtId="4" fontId="35" fillId="0" borderId="150" xfId="1" applyNumberFormat="1" applyFont="1" applyFill="1" applyBorder="1" applyAlignment="1">
      <alignment horizontal="right" vertical="center"/>
    </xf>
    <xf numFmtId="3" fontId="35" fillId="0" borderId="221" xfId="1" applyNumberFormat="1" applyFont="1" applyFill="1" applyBorder="1" applyAlignment="1">
      <alignment horizontal="right" vertical="center"/>
    </xf>
    <xf numFmtId="3" fontId="35" fillId="0" borderId="0" xfId="1" applyNumberFormat="1" applyFont="1" applyFill="1" applyBorder="1" applyAlignment="1" applyProtection="1">
      <alignment horizontal="right" vertical="center"/>
      <protection locked="0"/>
    </xf>
    <xf numFmtId="3" fontId="35" fillId="0" borderId="223" xfId="1" applyNumberFormat="1" applyFont="1" applyFill="1" applyBorder="1" applyAlignment="1">
      <alignment horizontal="right" vertical="center"/>
    </xf>
    <xf numFmtId="3" fontId="35" fillId="0" borderId="92" xfId="1" applyNumberFormat="1" applyFont="1" applyFill="1" applyBorder="1" applyAlignment="1" applyProtection="1">
      <alignment horizontal="right" vertical="center"/>
      <protection locked="0"/>
    </xf>
    <xf numFmtId="3" fontId="35" fillId="0" borderId="134" xfId="1" applyNumberFormat="1" applyFont="1" applyFill="1" applyBorder="1" applyAlignment="1">
      <alignment horizontal="right" vertical="center"/>
    </xf>
    <xf numFmtId="4" fontId="35" fillId="0" borderId="154" xfId="1" applyNumberFormat="1" applyFont="1" applyFill="1" applyBorder="1" applyAlignment="1" applyProtection="1">
      <alignment horizontal="right" vertical="center"/>
      <protection locked="0"/>
    </xf>
    <xf numFmtId="3" fontId="35" fillId="0" borderId="223" xfId="1" applyNumberFormat="1" applyFont="1" applyFill="1" applyBorder="1" applyAlignment="1" applyProtection="1">
      <alignment horizontal="right" vertical="center"/>
      <protection locked="0"/>
    </xf>
    <xf numFmtId="3" fontId="53" fillId="0" borderId="146" xfId="1" applyNumberFormat="1" applyFont="1" applyFill="1" applyBorder="1" applyAlignment="1" applyProtection="1">
      <alignment horizontal="right" vertical="center"/>
      <protection locked="0"/>
    </xf>
    <xf numFmtId="3" fontId="53" fillId="0" borderId="222" xfId="1" applyNumberFormat="1" applyFont="1" applyFill="1" applyBorder="1" applyAlignment="1" applyProtection="1">
      <alignment horizontal="right" vertical="center"/>
      <protection locked="0"/>
    </xf>
    <xf numFmtId="3" fontId="53" fillId="0" borderId="169" xfId="1" applyNumberFormat="1" applyFont="1" applyFill="1" applyBorder="1" applyAlignment="1" applyProtection="1">
      <alignment horizontal="right" vertical="center"/>
      <protection locked="0"/>
    </xf>
    <xf numFmtId="4" fontId="53" fillId="0" borderId="147" xfId="1" applyNumberFormat="1" applyFont="1" applyFill="1" applyBorder="1" applyAlignment="1">
      <alignment horizontal="right" vertical="center"/>
    </xf>
    <xf numFmtId="3" fontId="35" fillId="0" borderId="221" xfId="1" quotePrefix="1" applyNumberFormat="1" applyFont="1" applyFill="1" applyBorder="1" applyAlignment="1">
      <alignment horizontal="right" vertical="center"/>
    </xf>
    <xf numFmtId="3" fontId="35" fillId="0" borderId="150" xfId="1" quotePrefix="1" applyNumberFormat="1" applyFont="1" applyFill="1" applyBorder="1" applyAlignment="1" applyProtection="1">
      <alignment horizontal="right" vertical="center"/>
      <protection locked="0"/>
    </xf>
    <xf numFmtId="3" fontId="35" fillId="0" borderId="150" xfId="8" applyNumberFormat="1" applyFont="1" applyFill="1" applyBorder="1"/>
    <xf numFmtId="3" fontId="35" fillId="0" borderId="0" xfId="8" applyNumberFormat="1" applyFont="1" applyFill="1" applyAlignment="1">
      <alignment horizontal="right"/>
    </xf>
    <xf numFmtId="3" fontId="35" fillId="0" borderId="223" xfId="1" quotePrefix="1" applyNumberFormat="1" applyFont="1" applyFill="1" applyBorder="1" applyAlignment="1">
      <alignment horizontal="right" vertical="center"/>
    </xf>
    <xf numFmtId="3" fontId="35" fillId="0" borderId="160" xfId="1" applyNumberFormat="1" applyFont="1" applyFill="1" applyBorder="1" applyAlignment="1">
      <alignment horizontal="right" vertical="center"/>
    </xf>
    <xf numFmtId="3" fontId="53" fillId="0" borderId="150" xfId="1" applyNumberFormat="1" applyFont="1" applyFill="1" applyBorder="1" applyAlignment="1" applyProtection="1">
      <alignment horizontal="right" vertical="center"/>
      <protection locked="0"/>
    </xf>
    <xf numFmtId="37" fontId="71" fillId="0" borderId="296" xfId="8" applyNumberFormat="1" applyFont="1" applyFill="1" applyBorder="1" applyAlignment="1">
      <alignment horizontal="center" vertical="center" wrapText="1"/>
    </xf>
    <xf numFmtId="37" fontId="71" fillId="0" borderId="0" xfId="8" applyNumberFormat="1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9" fillId="0" borderId="0" xfId="8" quotePrefix="1" applyNumberFormat="1" applyFont="1" applyAlignment="1" applyProtection="1">
      <alignment vertical="center"/>
      <protection locked="0"/>
    </xf>
    <xf numFmtId="37" fontId="48" fillId="0" borderId="0" xfId="1" applyFont="1" applyFill="1" applyBorder="1" applyAlignment="1">
      <alignment horizontal="right" vertical="center"/>
    </xf>
    <xf numFmtId="169" fontId="68" fillId="0" borderId="0" xfId="0" applyNumberFormat="1" applyFont="1" applyFill="1" applyAlignment="1">
      <alignment horizontal="left"/>
    </xf>
    <xf numFmtId="0" fontId="36" fillId="0" borderId="0" xfId="8" quotePrefix="1" applyFont="1" applyFill="1"/>
    <xf numFmtId="0" fontId="47" fillId="0" borderId="0" xfId="0" applyFont="1"/>
    <xf numFmtId="0" fontId="0" fillId="0" borderId="0" xfId="0" applyFill="1" applyBorder="1" applyAlignment="1">
      <alignment vertical="top"/>
    </xf>
    <xf numFmtId="0" fontId="25" fillId="0" borderId="0" xfId="0" applyFont="1" applyAlignment="1">
      <alignment wrapText="1"/>
    </xf>
    <xf numFmtId="0" fontId="36" fillId="35" borderId="0" xfId="0" applyFont="1" applyFill="1" applyAlignment="1">
      <alignment horizontal="center"/>
    </xf>
    <xf numFmtId="1" fontId="35" fillId="0" borderId="0" xfId="0" applyNumberFormat="1" applyFont="1" applyFill="1" applyAlignment="1">
      <alignment horizontal="center"/>
    </xf>
    <xf numFmtId="168" fontId="73" fillId="45" borderId="0" xfId="0" applyNumberFormat="1" applyFont="1" applyFill="1" applyAlignment="1">
      <alignment horizontal="center"/>
    </xf>
    <xf numFmtId="10" fontId="35" fillId="45" borderId="0" xfId="0" applyNumberFormat="1" applyFont="1" applyFill="1" applyAlignment="1">
      <alignment horizontal="center"/>
    </xf>
    <xf numFmtId="10" fontId="35" fillId="59" borderId="134" xfId="0" applyNumberFormat="1" applyFont="1" applyFill="1" applyBorder="1" applyAlignment="1">
      <alignment horizontal="center"/>
    </xf>
    <xf numFmtId="10" fontId="35" fillId="36" borderId="0" xfId="0" applyNumberFormat="1" applyFont="1" applyFill="1" applyAlignment="1">
      <alignment horizontal="center"/>
    </xf>
    <xf numFmtId="10" fontId="35" fillId="59" borderId="0" xfId="0" applyNumberFormat="1" applyFont="1" applyFill="1" applyAlignment="1">
      <alignment horizontal="center"/>
    </xf>
    <xf numFmtId="10" fontId="35" fillId="59" borderId="239" xfId="0" applyNumberFormat="1" applyFont="1" applyFill="1" applyBorder="1" applyAlignment="1">
      <alignment horizontal="center"/>
    </xf>
    <xf numFmtId="10" fontId="35" fillId="56" borderId="0" xfId="0" applyNumberFormat="1" applyFont="1" applyFill="1" applyAlignment="1">
      <alignment horizontal="center"/>
    </xf>
    <xf numFmtId="0" fontId="29" fillId="0" borderId="0" xfId="8" applyFont="1" applyBorder="1"/>
    <xf numFmtId="0" fontId="35" fillId="0" borderId="0" xfId="0" applyFont="1" applyFill="1"/>
    <xf numFmtId="0" fontId="35" fillId="0" borderId="0" xfId="0" applyFont="1" applyFill="1" applyBorder="1"/>
    <xf numFmtId="168" fontId="61" fillId="0" borderId="0" xfId="0" applyNumberFormat="1" applyFont="1" applyAlignment="1">
      <alignment wrapText="1"/>
    </xf>
    <xf numFmtId="179" fontId="53" fillId="0" borderId="0" xfId="8" applyNumberFormat="1" applyFont="1"/>
    <xf numFmtId="171" fontId="68" fillId="0" borderId="0" xfId="8" applyNumberFormat="1" applyFont="1"/>
    <xf numFmtId="0" fontId="74" fillId="0" borderId="0" xfId="0" applyFont="1"/>
    <xf numFmtId="0" fontId="75" fillId="0" borderId="0" xfId="0" applyFont="1"/>
    <xf numFmtId="168" fontId="35" fillId="59" borderId="0" xfId="0" applyNumberFormat="1" applyFont="1" applyFill="1" applyAlignment="1">
      <alignment horizontal="center"/>
    </xf>
    <xf numFmtId="37" fontId="36" fillId="0" borderId="296" xfId="1" applyFont="1" applyBorder="1" applyAlignment="1">
      <alignment vertical="center"/>
    </xf>
    <xf numFmtId="37" fontId="36" fillId="0" borderId="0" xfId="1" applyFont="1" applyBorder="1" applyAlignment="1">
      <alignment horizontal="center" vertical="center"/>
    </xf>
    <xf numFmtId="4" fontId="35" fillId="0" borderId="297" xfId="1" applyNumberFormat="1" applyFont="1" applyBorder="1" applyAlignment="1">
      <alignment horizontal="right" vertical="center"/>
    </xf>
    <xf numFmtId="3" fontId="35" fillId="0" borderId="298" xfId="0" applyNumberFormat="1" applyFont="1" applyFill="1" applyBorder="1" applyAlignment="1">
      <alignment horizontal="right" vertical="center"/>
    </xf>
    <xf numFmtId="4" fontId="35" fillId="0" borderId="1" xfId="0" applyNumberFormat="1" applyFont="1" applyFill="1" applyBorder="1" applyAlignment="1">
      <alignment horizontal="right" vertical="center"/>
    </xf>
    <xf numFmtId="0" fontId="36" fillId="0" borderId="299" xfId="0" applyFont="1" applyFill="1" applyBorder="1"/>
    <xf numFmtId="37" fontId="36" fillId="0" borderId="169" xfId="1" applyFont="1" applyBorder="1" applyAlignment="1">
      <alignment horizontal="center" vertical="center"/>
    </xf>
    <xf numFmtId="37" fontId="35" fillId="0" borderId="145" xfId="1" applyFont="1" applyBorder="1" applyAlignment="1">
      <alignment horizontal="right" vertical="center"/>
    </xf>
    <xf numFmtId="4" fontId="35" fillId="0" borderId="146" xfId="1" applyNumberFormat="1" applyFont="1" applyBorder="1" applyAlignment="1">
      <alignment horizontal="right" vertical="center"/>
    </xf>
    <xf numFmtId="4" fontId="35" fillId="0" borderId="290" xfId="0" applyNumberFormat="1" applyFont="1" applyBorder="1" applyAlignment="1">
      <alignment vertical="center"/>
    </xf>
    <xf numFmtId="3" fontId="35" fillId="0" borderId="156" xfId="0" applyNumberFormat="1" applyFont="1" applyFill="1" applyBorder="1" applyAlignment="1">
      <alignment horizontal="right" vertical="center"/>
    </xf>
    <xf numFmtId="4" fontId="35" fillId="0" borderId="169" xfId="0" applyNumberFormat="1" applyFont="1" applyFill="1" applyBorder="1" applyAlignment="1">
      <alignment horizontal="right" vertical="center"/>
    </xf>
    <xf numFmtId="0" fontId="2" fillId="0" borderId="161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4" fontId="0" fillId="0" borderId="170" xfId="0" applyNumberFormat="1" applyFill="1" applyBorder="1" applyAlignment="1" applyProtection="1">
      <alignment horizontal="center"/>
      <protection locked="0"/>
    </xf>
    <xf numFmtId="3" fontId="2" fillId="0" borderId="170" xfId="0" applyNumberFormat="1" applyFont="1" applyBorder="1"/>
    <xf numFmtId="0" fontId="2" fillId="0" borderId="139" xfId="0" applyFont="1" applyBorder="1"/>
    <xf numFmtId="0" fontId="2" fillId="0" borderId="169" xfId="0" applyFont="1" applyBorder="1"/>
    <xf numFmtId="3" fontId="2" fillId="0" borderId="169" xfId="0" applyNumberFormat="1" applyFont="1" applyBorder="1"/>
    <xf numFmtId="0" fontId="2" fillId="0" borderId="145" xfId="0" applyFont="1" applyBorder="1"/>
    <xf numFmtId="0" fontId="5" fillId="0" borderId="161" xfId="0" applyFont="1" applyBorder="1" applyAlignment="1">
      <alignment horizontal="left" wrapText="1"/>
    </xf>
    <xf numFmtId="0" fontId="5" fillId="0" borderId="0" xfId="0" applyFont="1" applyBorder="1" applyAlignment="1">
      <alignment vertical="center"/>
    </xf>
    <xf numFmtId="3" fontId="2" fillId="0" borderId="0" xfId="0" applyNumberFormat="1" applyFont="1" applyBorder="1" applyAlignment="1">
      <alignment horizontal="center" vertical="center" wrapText="1"/>
    </xf>
    <xf numFmtId="0" fontId="5" fillId="0" borderId="149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1" fontId="5" fillId="0" borderId="0" xfId="0" applyNumberFormat="1" applyFont="1" applyBorder="1" applyAlignment="1">
      <alignment horizontal="center"/>
    </xf>
    <xf numFmtId="0" fontId="5" fillId="0" borderId="149" xfId="0" applyFont="1" applyBorder="1" applyAlignment="1">
      <alignment horizontal="center"/>
    </xf>
    <xf numFmtId="3" fontId="2" fillId="0" borderId="0" xfId="0" applyNumberFormat="1" applyFont="1" applyBorder="1" applyAlignment="1">
      <alignment horizontal="center"/>
    </xf>
    <xf numFmtId="3" fontId="2" fillId="0" borderId="149" xfId="0" applyNumberFormat="1" applyFont="1" applyBorder="1" applyAlignment="1">
      <alignment horizontal="center"/>
    </xf>
    <xf numFmtId="3" fontId="2" fillId="0" borderId="0" xfId="0" applyNumberFormat="1" applyFont="1" applyBorder="1" applyAlignment="1">
      <alignment horizontal="right"/>
    </xf>
    <xf numFmtId="3" fontId="2" fillId="0" borderId="0" xfId="0" applyNumberFormat="1" applyFont="1" applyBorder="1"/>
    <xf numFmtId="0" fontId="2" fillId="0" borderId="0" xfId="0" applyFont="1" applyBorder="1"/>
    <xf numFmtId="0" fontId="2" fillId="0" borderId="149" xfId="0" applyFont="1" applyBorder="1"/>
    <xf numFmtId="3" fontId="2" fillId="0" borderId="0" xfId="0" applyNumberFormat="1" applyFont="1" applyBorder="1" applyAlignment="1"/>
    <xf numFmtId="3" fontId="2" fillId="0" borderId="0" xfId="0" quotePrefix="1" applyNumberFormat="1" applyFont="1" applyBorder="1" applyAlignment="1">
      <alignment horizontal="right"/>
    </xf>
    <xf numFmtId="0" fontId="5" fillId="0" borderId="161" xfId="0" applyFont="1" applyBorder="1" applyAlignment="1">
      <alignment horizontal="center" vertical="top"/>
    </xf>
    <xf numFmtId="3" fontId="5" fillId="0" borderId="0" xfId="0" applyNumberFormat="1" applyFont="1" applyBorder="1" applyAlignment="1">
      <alignment horizontal="right" vertical="top"/>
    </xf>
    <xf numFmtId="3" fontId="5" fillId="0" borderId="0" xfId="0" applyNumberFormat="1" applyFont="1" applyBorder="1" applyAlignment="1">
      <alignment vertical="top"/>
    </xf>
    <xf numFmtId="0" fontId="2" fillId="0" borderId="0" xfId="0" quotePrefix="1" applyFont="1" applyBorder="1" applyAlignment="1">
      <alignment horizontal="center" vertical="top"/>
    </xf>
    <xf numFmtId="3" fontId="5" fillId="0" borderId="149" xfId="0" quotePrefix="1" applyNumberFormat="1" applyFont="1" applyBorder="1" applyAlignment="1">
      <alignment horizontal="center" vertical="top"/>
    </xf>
    <xf numFmtId="0" fontId="30" fillId="0" borderId="289" xfId="0" applyFont="1" applyBorder="1"/>
    <xf numFmtId="3" fontId="5" fillId="0" borderId="170" xfId="0" applyNumberFormat="1" applyFont="1" applyBorder="1" applyAlignment="1">
      <alignment horizontal="right"/>
    </xf>
    <xf numFmtId="0" fontId="2" fillId="0" borderId="170" xfId="0" applyFont="1" applyBorder="1"/>
    <xf numFmtId="0" fontId="77" fillId="0" borderId="290" xfId="0" applyFont="1" applyBorder="1"/>
    <xf numFmtId="3" fontId="2" fillId="0" borderId="97" xfId="0" applyNumberFormat="1" applyFont="1" applyBorder="1"/>
    <xf numFmtId="3" fontId="2" fillId="0" borderId="98" xfId="0" applyNumberFormat="1" applyFont="1" applyBorder="1"/>
    <xf numFmtId="0" fontId="2" fillId="0" borderId="98" xfId="0" applyFont="1" applyBorder="1"/>
    <xf numFmtId="0" fontId="2" fillId="0" borderId="300" xfId="0" applyFont="1" applyBorder="1"/>
    <xf numFmtId="177" fontId="2" fillId="0" borderId="0" xfId="13" applyNumberFormat="1" applyFont="1" applyBorder="1"/>
    <xf numFmtId="3" fontId="5" fillId="0" borderId="0" xfId="0" applyNumberFormat="1" applyFont="1" applyBorder="1" applyAlignment="1">
      <alignment horizontal="center"/>
    </xf>
    <xf numFmtId="0" fontId="2" fillId="0" borderId="290" xfId="0" applyFont="1" applyFill="1" applyBorder="1" applyAlignment="1">
      <alignment horizontal="center"/>
    </xf>
    <xf numFmtId="2" fontId="2" fillId="0" borderId="302" xfId="0" quotePrefix="1" applyNumberFormat="1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1" fontId="2" fillId="0" borderId="301" xfId="0" applyNumberFormat="1" applyFont="1" applyBorder="1" applyAlignment="1">
      <alignment horizontal="center"/>
    </xf>
    <xf numFmtId="0" fontId="2" fillId="0" borderId="302" xfId="0" applyFont="1" applyBorder="1"/>
    <xf numFmtId="3" fontId="2" fillId="0" borderId="301" xfId="0" applyNumberFormat="1" applyFont="1" applyBorder="1"/>
    <xf numFmtId="0" fontId="2" fillId="0" borderId="169" xfId="0" applyFont="1" applyFill="1" applyBorder="1" applyAlignment="1">
      <alignment horizontal="center"/>
    </xf>
    <xf numFmtId="0" fontId="2" fillId="0" borderId="0" xfId="0" applyFont="1" applyFill="1" applyAlignment="1">
      <alignment horizontal="left"/>
    </xf>
    <xf numFmtId="3" fontId="2" fillId="0" borderId="0" xfId="0" applyNumberFormat="1" applyFont="1" applyFill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3" fontId="2" fillId="0" borderId="0" xfId="0" applyNumberFormat="1" applyFont="1" applyFill="1" applyAlignment="1">
      <alignment horizontal="center"/>
    </xf>
    <xf numFmtId="0" fontId="2" fillId="0" borderId="0" xfId="0" applyFont="1" applyAlignment="1"/>
    <xf numFmtId="0" fontId="2" fillId="0" borderId="140" xfId="0" applyFont="1" applyBorder="1"/>
    <xf numFmtId="0" fontId="5" fillId="0" borderId="167" xfId="0" applyFont="1" applyBorder="1" applyAlignment="1">
      <alignment horizontal="center" vertical="center" wrapText="1"/>
    </xf>
    <xf numFmtId="4" fontId="5" fillId="0" borderId="167" xfId="0" applyNumberFormat="1" applyFont="1" applyBorder="1" applyAlignment="1">
      <alignment horizontal="center" vertical="center" wrapText="1"/>
    </xf>
    <xf numFmtId="10" fontId="5" fillId="0" borderId="167" xfId="0" applyNumberFormat="1" applyFont="1" applyBorder="1" applyAlignment="1">
      <alignment horizontal="center" vertical="center" wrapText="1"/>
    </xf>
    <xf numFmtId="0" fontId="2" fillId="0" borderId="164" xfId="0" applyFont="1" applyBorder="1"/>
    <xf numFmtId="0" fontId="5" fillId="0" borderId="148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4" fontId="5" fillId="0" borderId="0" xfId="0" applyNumberFormat="1" applyFont="1" applyBorder="1" applyAlignment="1">
      <alignment horizontal="center"/>
    </xf>
    <xf numFmtId="10" fontId="2" fillId="0" borderId="0" xfId="0" applyNumberFormat="1" applyFont="1" applyBorder="1" applyAlignment="1">
      <alignment horizontal="center"/>
    </xf>
    <xf numFmtId="0" fontId="2" fillId="0" borderId="151" xfId="0" applyFont="1" applyBorder="1"/>
    <xf numFmtId="0" fontId="2" fillId="0" borderId="148" xfId="0" applyFont="1" applyBorder="1"/>
    <xf numFmtId="1" fontId="2" fillId="0" borderId="0" xfId="0" applyNumberFormat="1" applyFont="1" applyBorder="1" applyAlignment="1">
      <alignment horizontal="center"/>
    </xf>
    <xf numFmtId="1" fontId="2" fillId="0" borderId="151" xfId="0" applyNumberFormat="1" applyFont="1" applyBorder="1" applyAlignment="1">
      <alignment horizontal="center"/>
    </xf>
    <xf numFmtId="0" fontId="2" fillId="0" borderId="147" xfId="0" applyFont="1" applyFill="1" applyBorder="1" applyAlignment="1">
      <alignment horizontal="center"/>
    </xf>
    <xf numFmtId="0" fontId="2" fillId="0" borderId="148" xfId="0" applyFont="1" applyBorder="1" applyAlignment="1">
      <alignment horizontal="center"/>
    </xf>
    <xf numFmtId="176" fontId="2" fillId="0" borderId="0" xfId="0" applyNumberFormat="1" applyFont="1" applyBorder="1" applyAlignment="1">
      <alignment horizontal="center"/>
    </xf>
    <xf numFmtId="0" fontId="2" fillId="0" borderId="151" xfId="0" applyFont="1" applyBorder="1" applyAlignment="1">
      <alignment horizontal="center"/>
    </xf>
    <xf numFmtId="176" fontId="1" fillId="0" borderId="0" xfId="11" applyNumberFormat="1" applyFont="1" applyFill="1" applyBorder="1" applyAlignment="1">
      <alignment horizontal="center"/>
    </xf>
    <xf numFmtId="10" fontId="2" fillId="0" borderId="0" xfId="0" quotePrefix="1" applyNumberFormat="1" applyFont="1" applyBorder="1" applyAlignment="1">
      <alignment horizontal="center"/>
    </xf>
    <xf numFmtId="176" fontId="2" fillId="0" borderId="0" xfId="0" applyNumberFormat="1" applyFont="1" applyBorder="1" applyAlignment="1">
      <alignment horizontal="center" wrapText="1"/>
    </xf>
    <xf numFmtId="10" fontId="2" fillId="0" borderId="161" xfId="0" applyNumberFormat="1" applyFont="1" applyBorder="1" applyAlignment="1">
      <alignment horizontal="center"/>
    </xf>
    <xf numFmtId="0" fontId="2" fillId="0" borderId="161" xfId="0" applyFont="1" applyBorder="1"/>
    <xf numFmtId="2" fontId="2" fillId="0" borderId="161" xfId="0" quotePrefix="1" applyNumberFormat="1" applyFont="1" applyBorder="1" applyAlignment="1">
      <alignment horizontal="center"/>
    </xf>
    <xf numFmtId="4" fontId="2" fillId="0" borderId="161" xfId="0" applyNumberFormat="1" applyFont="1" applyBorder="1" applyAlignment="1">
      <alignment horizontal="center"/>
    </xf>
    <xf numFmtId="171" fontId="0" fillId="0" borderId="0" xfId="0" applyNumberFormat="1" applyFill="1" applyBorder="1" applyAlignment="1" applyProtection="1">
      <alignment horizontal="center"/>
      <protection locked="0"/>
    </xf>
    <xf numFmtId="171" fontId="0" fillId="0" borderId="170" xfId="0" applyNumberFormat="1" applyFill="1" applyBorder="1" applyAlignment="1" applyProtection="1">
      <alignment horizontal="center"/>
      <protection locked="0"/>
    </xf>
    <xf numFmtId="171" fontId="2" fillId="0" borderId="0" xfId="7" quotePrefix="1" applyNumberFormat="1" applyFill="1" applyBorder="1" applyAlignment="1">
      <alignment horizontal="center"/>
    </xf>
    <xf numFmtId="171" fontId="0" fillId="0" borderId="0" xfId="12" applyNumberFormat="1" applyFont="1" applyBorder="1" applyAlignment="1">
      <alignment horizontal="center"/>
    </xf>
    <xf numFmtId="0" fontId="8" fillId="0" borderId="149" xfId="0" applyFont="1" applyFill="1" applyBorder="1" applyAlignment="1">
      <alignment horizontal="center" vertical="center"/>
    </xf>
    <xf numFmtId="0" fontId="0" fillId="0" borderId="149" xfId="0" applyBorder="1" applyAlignment="1">
      <alignment horizontal="center"/>
    </xf>
    <xf numFmtId="0" fontId="2" fillId="0" borderId="149" xfId="0" applyFont="1" applyBorder="1" applyAlignment="1">
      <alignment horizontal="center"/>
    </xf>
    <xf numFmtId="0" fontId="0" fillId="0" borderId="0" xfId="0" applyBorder="1" applyAlignment="1">
      <alignment horizontal="right"/>
    </xf>
    <xf numFmtId="0" fontId="2" fillId="0" borderId="0" xfId="0" applyFont="1" applyBorder="1" applyAlignment="1">
      <alignment horizontal="right"/>
    </xf>
    <xf numFmtId="0" fontId="2" fillId="0" borderId="170" xfId="0" applyFont="1" applyBorder="1" applyAlignment="1">
      <alignment horizontal="right"/>
    </xf>
    <xf numFmtId="4" fontId="5" fillId="54" borderId="0" xfId="0" applyNumberFormat="1" applyFont="1" applyFill="1" applyBorder="1" applyAlignment="1">
      <alignment horizontal="center" vertical="top"/>
    </xf>
    <xf numFmtId="4" fontId="2" fillId="0" borderId="170" xfId="0" applyNumberFormat="1" applyFont="1" applyFill="1" applyBorder="1" applyAlignment="1">
      <alignment horizontal="center"/>
    </xf>
    <xf numFmtId="0" fontId="0" fillId="0" borderId="170" xfId="0" applyFill="1" applyBorder="1" applyAlignment="1">
      <alignment horizontal="center"/>
    </xf>
    <xf numFmtId="43" fontId="0" fillId="0" borderId="0" xfId="13" applyFont="1" applyFill="1"/>
    <xf numFmtId="0" fontId="2" fillId="0" borderId="170" xfId="0" applyNumberFormat="1" applyFont="1" applyFill="1" applyBorder="1" applyAlignment="1" applyProtection="1">
      <alignment horizontal="center"/>
      <protection locked="0"/>
    </xf>
    <xf numFmtId="4" fontId="2" fillId="0" borderId="0" xfId="0" applyNumberFormat="1" applyFont="1" applyFill="1"/>
    <xf numFmtId="16" fontId="68" fillId="0" borderId="0" xfId="0" applyNumberFormat="1" applyFont="1" applyFill="1"/>
    <xf numFmtId="4" fontId="2" fillId="0" borderId="170" xfId="7" applyNumberFormat="1" applyFill="1" applyBorder="1" applyAlignment="1">
      <alignment horizontal="center"/>
    </xf>
    <xf numFmtId="171" fontId="0" fillId="0" borderId="170" xfId="12" applyNumberFormat="1" applyFont="1" applyFill="1" applyBorder="1" applyAlignment="1">
      <alignment horizontal="center"/>
    </xf>
    <xf numFmtId="176" fontId="2" fillId="0" borderId="161" xfId="0" applyNumberFormat="1" applyFont="1" applyFill="1" applyBorder="1"/>
    <xf numFmtId="176" fontId="2" fillId="0" borderId="0" xfId="0" applyNumberFormat="1" applyFont="1" applyFill="1" applyBorder="1"/>
    <xf numFmtId="0" fontId="2" fillId="0" borderId="151" xfId="0" applyFont="1" applyFill="1" applyBorder="1"/>
    <xf numFmtId="176" fontId="2" fillId="0" borderId="0" xfId="0" applyNumberFormat="1" applyFont="1" applyFill="1" applyBorder="1" applyAlignment="1">
      <alignment horizontal="center"/>
    </xf>
    <xf numFmtId="177" fontId="2" fillId="0" borderId="0" xfId="13" applyNumberFormat="1" applyFont="1" applyFill="1" applyBorder="1"/>
    <xf numFmtId="0" fontId="5" fillId="0" borderId="0" xfId="0" applyFont="1" applyBorder="1"/>
    <xf numFmtId="4" fontId="0" fillId="55" borderId="169" xfId="0" applyNumberFormat="1" applyFill="1" applyBorder="1" applyAlignment="1">
      <alignment horizontal="center"/>
    </xf>
    <xf numFmtId="4" fontId="5" fillId="55" borderId="169" xfId="0" applyNumberFormat="1" applyFont="1" applyFill="1" applyBorder="1" applyAlignment="1">
      <alignment horizontal="center"/>
    </xf>
    <xf numFmtId="0" fontId="0" fillId="55" borderId="169" xfId="0" applyFill="1" applyBorder="1" applyAlignment="1"/>
    <xf numFmtId="4" fontId="5" fillId="0" borderId="0" xfId="0" applyNumberFormat="1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4" fontId="5" fillId="0" borderId="0" xfId="0" applyNumberFormat="1" applyFont="1" applyFill="1" applyBorder="1" applyAlignment="1">
      <alignment horizontal="center"/>
    </xf>
    <xf numFmtId="4" fontId="5" fillId="54" borderId="0" xfId="0" applyNumberFormat="1" applyFont="1" applyFill="1" applyBorder="1" applyAlignment="1">
      <alignment horizontal="center" vertical="center"/>
    </xf>
    <xf numFmtId="4" fontId="70" fillId="0" borderId="0" xfId="0" applyNumberFormat="1" applyFont="1" applyFill="1" applyAlignment="1">
      <alignment horizontal="center"/>
    </xf>
    <xf numFmtId="4" fontId="29" fillId="0" borderId="0" xfId="0" applyNumberFormat="1" applyFont="1" applyFill="1"/>
    <xf numFmtId="43" fontId="29" fillId="0" borderId="0" xfId="13" applyFont="1" applyFill="1"/>
    <xf numFmtId="37" fontId="48" fillId="34" borderId="280" xfId="1" applyFont="1" applyFill="1" applyBorder="1" applyAlignment="1" applyProtection="1">
      <alignment horizontal="right" vertical="center"/>
      <protection locked="0"/>
    </xf>
    <xf numFmtId="0" fontId="0" fillId="34" borderId="170" xfId="0" applyFill="1" applyBorder="1" applyAlignment="1">
      <alignment horizontal="center"/>
    </xf>
    <xf numFmtId="37" fontId="48" fillId="21" borderId="0" xfId="1" applyFont="1" applyFill="1" applyBorder="1" applyAlignment="1">
      <alignment horizontal="center"/>
    </xf>
    <xf numFmtId="37" fontId="48" fillId="21" borderId="253" xfId="1" applyFont="1" applyFill="1" applyBorder="1" applyAlignment="1">
      <alignment horizontal="center"/>
    </xf>
    <xf numFmtId="37" fontId="48" fillId="21" borderId="170" xfId="1" applyFont="1" applyFill="1" applyBorder="1" applyAlignment="1">
      <alignment horizontal="center"/>
    </xf>
    <xf numFmtId="37" fontId="48" fillId="21" borderId="256" xfId="1" applyFont="1" applyFill="1" applyBorder="1" applyAlignment="1">
      <alignment horizontal="center"/>
    </xf>
    <xf numFmtId="37" fontId="48" fillId="21" borderId="255" xfId="1" applyFont="1" applyFill="1" applyBorder="1" applyAlignment="1">
      <alignment horizontal="center"/>
    </xf>
    <xf numFmtId="37" fontId="48" fillId="21" borderId="303" xfId="1" applyFont="1" applyFill="1" applyBorder="1" applyAlignment="1">
      <alignment horizontal="center"/>
    </xf>
    <xf numFmtId="37" fontId="4" fillId="0" borderId="0" xfId="1" applyFont="1" applyFill="1" applyAlignment="1">
      <alignment vertical="center"/>
    </xf>
    <xf numFmtId="37" fontId="4" fillId="21" borderId="295" xfId="1" applyFont="1" applyFill="1" applyBorder="1" applyAlignment="1"/>
    <xf numFmtId="37" fontId="50" fillId="23" borderId="257" xfId="1" applyFont="1" applyFill="1" applyBorder="1" applyAlignment="1">
      <alignment horizontal="right" vertical="center"/>
    </xf>
    <xf numFmtId="37" fontId="65" fillId="34" borderId="294" xfId="1" applyFont="1" applyFill="1" applyBorder="1" applyAlignment="1">
      <alignment horizontal="center"/>
    </xf>
    <xf numFmtId="0" fontId="0" fillId="34" borderId="293" xfId="0" applyFill="1" applyBorder="1" applyAlignment="1">
      <alignment horizontal="center"/>
    </xf>
    <xf numFmtId="49" fontId="48" fillId="29" borderId="269" xfId="1" applyNumberFormat="1" applyFont="1" applyFill="1" applyBorder="1" applyAlignment="1" applyProtection="1">
      <alignment horizontal="center" vertical="center" wrapText="1"/>
      <protection locked="0"/>
    </xf>
    <xf numFmtId="49" fontId="48" fillId="29" borderId="270" xfId="1" applyNumberFormat="1" applyFont="1" applyFill="1" applyBorder="1" applyAlignment="1" applyProtection="1">
      <alignment horizontal="center" vertical="center" wrapText="1"/>
      <protection locked="0"/>
    </xf>
    <xf numFmtId="165" fontId="48" fillId="28" borderId="253" xfId="7" applyNumberFormat="1" applyFont="1" applyFill="1" applyBorder="1" applyAlignment="1">
      <alignment horizontal="center" vertical="center"/>
    </xf>
    <xf numFmtId="0" fontId="50" fillId="28" borderId="254" xfId="0" applyFont="1" applyFill="1" applyBorder="1" applyAlignment="1">
      <alignment horizontal="center" vertical="center"/>
    </xf>
    <xf numFmtId="165" fontId="48" fillId="28" borderId="260" xfId="7" applyNumberFormat="1" applyFont="1" applyFill="1" applyBorder="1" applyAlignment="1">
      <alignment horizontal="center" vertical="center"/>
    </xf>
    <xf numFmtId="0" fontId="50" fillId="0" borderId="261" xfId="0" applyFont="1" applyBorder="1" applyAlignment="1">
      <alignment horizontal="center" vertical="center"/>
    </xf>
    <xf numFmtId="165" fontId="48" fillId="28" borderId="254" xfId="7" applyNumberFormat="1" applyFont="1" applyFill="1" applyBorder="1" applyAlignment="1">
      <alignment horizontal="center" vertical="center"/>
    </xf>
    <xf numFmtId="37" fontId="65" fillId="34" borderId="170" xfId="1" applyFont="1" applyFill="1" applyBorder="1" applyAlignment="1">
      <alignment horizontal="center"/>
    </xf>
    <xf numFmtId="0" fontId="0" fillId="34" borderId="295" xfId="0" applyFill="1" applyBorder="1" applyAlignment="1">
      <alignment horizontal="center"/>
    </xf>
    <xf numFmtId="37" fontId="4" fillId="21" borderId="170" xfId="1" applyFont="1" applyFill="1" applyBorder="1" applyAlignment="1">
      <alignment horizontal="center"/>
    </xf>
    <xf numFmtId="37" fontId="4" fillId="21" borderId="295" xfId="1" applyFont="1" applyFill="1" applyBorder="1" applyAlignment="1">
      <alignment horizontal="center"/>
    </xf>
    <xf numFmtId="165" fontId="48" fillId="28" borderId="193" xfId="7" applyNumberFormat="1" applyFont="1" applyFill="1" applyBorder="1" applyAlignment="1">
      <alignment horizontal="center" vertical="center"/>
    </xf>
    <xf numFmtId="165" fontId="48" fillId="28" borderId="194" xfId="7" applyNumberFormat="1" applyFont="1" applyFill="1" applyBorder="1" applyAlignment="1">
      <alignment horizontal="center" vertical="center"/>
    </xf>
    <xf numFmtId="49" fontId="29" fillId="0" borderId="148" xfId="8" applyNumberFormat="1" applyFont="1" applyBorder="1" applyAlignment="1">
      <alignment vertical="center" wrapText="1"/>
    </xf>
    <xf numFmtId="0" fontId="0" fillId="0" borderId="0" xfId="0" applyAlignment="1">
      <alignment vertical="center" wrapText="1"/>
    </xf>
    <xf numFmtId="165" fontId="48" fillId="28" borderId="182" xfId="7" applyNumberFormat="1" applyFont="1" applyFill="1" applyBorder="1" applyAlignment="1">
      <alignment horizontal="center" vertical="center"/>
    </xf>
    <xf numFmtId="165" fontId="48" fillId="28" borderId="177" xfId="7" applyNumberFormat="1" applyFont="1" applyFill="1" applyBorder="1" applyAlignment="1">
      <alignment horizontal="center" vertical="center"/>
    </xf>
    <xf numFmtId="165" fontId="48" fillId="28" borderId="191" xfId="7" applyNumberFormat="1" applyFont="1" applyFill="1" applyBorder="1" applyAlignment="1">
      <alignment horizontal="center" vertical="center"/>
    </xf>
    <xf numFmtId="165" fontId="48" fillId="28" borderId="192" xfId="7" applyNumberFormat="1" applyFont="1" applyFill="1" applyBorder="1" applyAlignment="1">
      <alignment horizontal="center" vertical="center"/>
    </xf>
    <xf numFmtId="0" fontId="50" fillId="28" borderId="194" xfId="0" applyFont="1" applyFill="1" applyBorder="1" applyAlignment="1">
      <alignment horizontal="center" vertical="center"/>
    </xf>
    <xf numFmtId="1" fontId="48" fillId="28" borderId="204" xfId="7" applyNumberFormat="1" applyFont="1" applyFill="1" applyBorder="1" applyAlignment="1">
      <alignment horizontal="center" vertical="center"/>
    </xf>
    <xf numFmtId="1" fontId="48" fillId="28" borderId="205" xfId="7" applyNumberFormat="1" applyFont="1" applyFill="1" applyBorder="1" applyAlignment="1">
      <alignment horizontal="center" vertical="center"/>
    </xf>
    <xf numFmtId="0" fontId="50" fillId="0" borderId="254" xfId="0" applyFont="1" applyBorder="1" applyAlignment="1">
      <alignment horizontal="center" vertical="center"/>
    </xf>
    <xf numFmtId="37" fontId="48" fillId="28" borderId="189" xfId="1" applyFont="1" applyFill="1" applyBorder="1" applyAlignment="1">
      <alignment horizontal="right" vertical="center"/>
    </xf>
    <xf numFmtId="37" fontId="48" fillId="28" borderId="249" xfId="1" applyFont="1" applyFill="1" applyBorder="1" applyAlignment="1">
      <alignment horizontal="right" vertical="center"/>
    </xf>
    <xf numFmtId="0" fontId="48" fillId="28" borderId="140" xfId="7" applyFont="1" applyFill="1" applyBorder="1" applyAlignment="1">
      <alignment horizontal="left" vertical="center" wrapText="1"/>
    </xf>
    <xf numFmtId="0" fontId="48" fillId="28" borderId="243" xfId="7" applyFont="1" applyFill="1" applyBorder="1" applyAlignment="1">
      <alignment horizontal="left" vertical="center" wrapText="1"/>
    </xf>
    <xf numFmtId="0" fontId="48" fillId="28" borderId="190" xfId="7" applyFont="1" applyFill="1" applyBorder="1" applyAlignment="1">
      <alignment horizontal="left" vertical="center" wrapText="1"/>
    </xf>
    <xf numFmtId="0" fontId="48" fillId="28" borderId="244" xfId="7" applyFont="1" applyFill="1" applyBorder="1" applyAlignment="1">
      <alignment horizontal="left" vertical="center" wrapText="1"/>
    </xf>
    <xf numFmtId="0" fontId="48" fillId="28" borderId="182" xfId="7" applyFont="1" applyFill="1" applyBorder="1" applyAlignment="1">
      <alignment horizontal="center" vertical="center"/>
    </xf>
    <xf numFmtId="0" fontId="48" fillId="28" borderId="177" xfId="7" applyFont="1" applyFill="1" applyBorder="1" applyAlignment="1">
      <alignment horizontal="center" vertical="center"/>
    </xf>
    <xf numFmtId="0" fontId="48" fillId="28" borderId="274" xfId="7" applyFont="1" applyFill="1" applyBorder="1" applyAlignment="1">
      <alignment horizontal="center" vertical="center"/>
    </xf>
    <xf numFmtId="0" fontId="0" fillId="0" borderId="275" xfId="0" applyBorder="1" applyAlignment="1">
      <alignment horizontal="center" vertical="center"/>
    </xf>
    <xf numFmtId="0" fontId="48" fillId="28" borderId="204" xfId="7" applyFont="1" applyFill="1" applyBorder="1" applyAlignment="1">
      <alignment horizontal="center" vertical="center"/>
    </xf>
    <xf numFmtId="0" fontId="0" fillId="0" borderId="205" xfId="0" applyBorder="1" applyAlignment="1">
      <alignment horizontal="center" vertical="center"/>
    </xf>
    <xf numFmtId="1" fontId="48" fillId="28" borderId="276" xfId="7" applyNumberFormat="1" applyFont="1" applyFill="1" applyBorder="1" applyAlignment="1">
      <alignment horizontal="center" vertical="center"/>
    </xf>
    <xf numFmtId="0" fontId="0" fillId="0" borderId="277" xfId="0" applyBorder="1" applyAlignment="1">
      <alignment horizontal="center" vertical="center"/>
    </xf>
    <xf numFmtId="1" fontId="48" fillId="28" borderId="229" xfId="7" applyNumberFormat="1" applyFont="1" applyFill="1" applyBorder="1" applyAlignment="1">
      <alignment horizontal="center" vertical="center"/>
    </xf>
    <xf numFmtId="1" fontId="48" fillId="28" borderId="230" xfId="7" applyNumberFormat="1" applyFont="1" applyFill="1" applyBorder="1" applyAlignment="1">
      <alignment horizontal="center" vertical="center"/>
    </xf>
    <xf numFmtId="1" fontId="48" fillId="28" borderId="278" xfId="7" applyNumberFormat="1" applyFont="1" applyFill="1" applyBorder="1" applyAlignment="1">
      <alignment horizontal="center" vertical="center"/>
    </xf>
    <xf numFmtId="1" fontId="48" fillId="28" borderId="279" xfId="7" applyNumberFormat="1" applyFont="1" applyFill="1" applyBorder="1" applyAlignment="1">
      <alignment horizontal="center" vertical="center"/>
    </xf>
    <xf numFmtId="2" fontId="35" fillId="25" borderId="196" xfId="0" applyNumberFormat="1" applyFont="1" applyFill="1" applyBorder="1" applyAlignment="1">
      <alignment horizontal="center" vertical="center" wrapText="1"/>
    </xf>
    <xf numFmtId="2" fontId="36" fillId="26" borderId="197" xfId="0" applyNumberFormat="1" applyFont="1" applyFill="1" applyBorder="1" applyAlignment="1">
      <alignment horizontal="center" vertical="center" wrapText="1"/>
    </xf>
    <xf numFmtId="3" fontId="35" fillId="25" borderId="140" xfId="0" applyNumberFormat="1" applyFont="1" applyFill="1" applyBorder="1" applyAlignment="1">
      <alignment horizontal="center" vertical="center" wrapText="1"/>
    </xf>
    <xf numFmtId="3" fontId="35" fillId="25" borderId="167" xfId="0" applyNumberFormat="1" applyFont="1" applyFill="1" applyBorder="1" applyAlignment="1">
      <alignment horizontal="center" vertical="center" wrapText="1"/>
    </xf>
    <xf numFmtId="3" fontId="35" fillId="25" borderId="164" xfId="0" applyNumberFormat="1" applyFont="1" applyFill="1" applyBorder="1" applyAlignment="1">
      <alignment horizontal="center" vertical="center" wrapText="1"/>
    </xf>
    <xf numFmtId="3" fontId="35" fillId="25" borderId="190" xfId="0" applyNumberFormat="1" applyFont="1" applyFill="1" applyBorder="1" applyAlignment="1">
      <alignment horizontal="center" vertical="center" wrapText="1"/>
    </xf>
    <xf numFmtId="3" fontId="35" fillId="25" borderId="180" xfId="0" applyNumberFormat="1" applyFont="1" applyFill="1" applyBorder="1" applyAlignment="1">
      <alignment horizontal="center" vertical="center" wrapText="1"/>
    </xf>
    <xf numFmtId="3" fontId="35" fillId="25" borderId="172" xfId="0" applyNumberFormat="1" applyFont="1" applyFill="1" applyBorder="1" applyAlignment="1">
      <alignment horizontal="center" vertical="center" wrapText="1"/>
    </xf>
    <xf numFmtId="37" fontId="35" fillId="27" borderId="283" xfId="1" applyFont="1" applyFill="1" applyBorder="1" applyAlignment="1">
      <alignment horizontal="left" vertical="center"/>
    </xf>
    <xf numFmtId="37" fontId="35" fillId="27" borderId="284" xfId="1" applyFont="1" applyFill="1" applyBorder="1" applyAlignment="1">
      <alignment horizontal="left" vertical="center"/>
    </xf>
    <xf numFmtId="37" fontId="35" fillId="27" borderId="285" xfId="1" applyFont="1" applyFill="1" applyBorder="1" applyAlignment="1">
      <alignment horizontal="left" vertical="center"/>
    </xf>
    <xf numFmtId="0" fontId="35" fillId="25" borderId="140" xfId="9" applyFont="1" applyFill="1" applyBorder="1" applyAlignment="1">
      <alignment horizontal="center" vertical="center" wrapText="1"/>
    </xf>
    <xf numFmtId="0" fontId="35" fillId="25" borderId="190" xfId="9" applyFont="1" applyFill="1" applyBorder="1" applyAlignment="1">
      <alignment horizontal="center" vertical="center" wrapText="1"/>
    </xf>
    <xf numFmtId="0" fontId="35" fillId="25" borderId="167" xfId="9" applyFont="1" applyFill="1" applyBorder="1" applyAlignment="1">
      <alignment horizontal="center" vertical="center" wrapText="1"/>
    </xf>
    <xf numFmtId="0" fontId="35" fillId="25" borderId="180" xfId="9" applyFont="1" applyFill="1" applyBorder="1" applyAlignment="1">
      <alignment horizontal="center" vertical="center" wrapText="1"/>
    </xf>
    <xf numFmtId="0" fontId="35" fillId="25" borderId="137" xfId="9" applyFont="1" applyFill="1" applyBorder="1" applyAlignment="1">
      <alignment horizontal="left" vertical="center" wrapText="1"/>
    </xf>
    <xf numFmtId="0" fontId="35" fillId="25" borderId="200" xfId="9" applyFont="1" applyFill="1" applyBorder="1" applyAlignment="1">
      <alignment horizontal="left" vertical="center" wrapText="1"/>
    </xf>
    <xf numFmtId="3" fontId="35" fillId="25" borderId="133" xfId="0" applyNumberFormat="1" applyFont="1" applyFill="1" applyBorder="1" applyAlignment="1">
      <alignment horizontal="center" vertical="center" wrapText="1"/>
    </xf>
    <xf numFmtId="3" fontId="35" fillId="25" borderId="195" xfId="0" applyNumberFormat="1" applyFont="1" applyFill="1" applyBorder="1" applyAlignment="1">
      <alignment horizontal="center" vertical="center" wrapText="1"/>
    </xf>
    <xf numFmtId="0" fontId="8" fillId="0" borderId="170" xfId="0" applyFont="1" applyBorder="1" applyAlignment="1">
      <alignment horizontal="center"/>
    </xf>
    <xf numFmtId="0" fontId="8" fillId="0" borderId="170" xfId="7" applyFont="1" applyBorder="1" applyAlignment="1">
      <alignment horizontal="center"/>
    </xf>
    <xf numFmtId="4" fontId="5" fillId="54" borderId="169" xfId="7" applyNumberFormat="1" applyFont="1" applyFill="1" applyBorder="1" applyAlignment="1">
      <alignment horizontal="center" wrapText="1"/>
    </xf>
    <xf numFmtId="4" fontId="8" fillId="54" borderId="169" xfId="7" applyNumberFormat="1" applyFont="1" applyFill="1" applyBorder="1" applyAlignment="1">
      <alignment horizontal="center" wrapText="1"/>
    </xf>
    <xf numFmtId="10" fontId="5" fillId="54" borderId="169" xfId="7" applyNumberFormat="1" applyFont="1" applyFill="1" applyBorder="1" applyAlignment="1">
      <alignment horizontal="center" wrapText="1"/>
    </xf>
    <xf numFmtId="10" fontId="8" fillId="54" borderId="169" xfId="7" applyNumberFormat="1" applyFont="1" applyFill="1" applyBorder="1" applyAlignment="1">
      <alignment horizontal="center" wrapText="1"/>
    </xf>
    <xf numFmtId="4" fontId="5" fillId="54" borderId="169" xfId="0" applyNumberFormat="1" applyFont="1" applyFill="1" applyBorder="1" applyAlignment="1">
      <alignment horizontal="center" vertical="center" wrapText="1"/>
    </xf>
    <xf numFmtId="0" fontId="0" fillId="0" borderId="169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54" borderId="169" xfId="0" applyFont="1" applyFill="1" applyBorder="1" applyAlignment="1">
      <alignment horizontal="center" vertical="center" wrapText="1"/>
    </xf>
    <xf numFmtId="10" fontId="5" fillId="54" borderId="169" xfId="0" applyNumberFormat="1" applyFont="1" applyFill="1" applyBorder="1" applyAlignment="1">
      <alignment horizontal="right" wrapText="1"/>
    </xf>
    <xf numFmtId="10" fontId="5" fillId="54" borderId="145" xfId="0" applyNumberFormat="1" applyFont="1" applyFill="1" applyBorder="1" applyAlignment="1">
      <alignment horizontal="right" wrapText="1"/>
    </xf>
    <xf numFmtId="10" fontId="5" fillId="54" borderId="0" xfId="0" applyNumberFormat="1" applyFont="1" applyFill="1" applyBorder="1" applyAlignment="1">
      <alignment horizontal="right" vertical="top" wrapText="1"/>
    </xf>
    <xf numFmtId="10" fontId="5" fillId="54" borderId="149" xfId="0" applyNumberFormat="1" applyFont="1" applyFill="1" applyBorder="1" applyAlignment="1">
      <alignment horizontal="right" vertical="top" wrapText="1"/>
    </xf>
    <xf numFmtId="0" fontId="8" fillId="54" borderId="169" xfId="0" applyFont="1" applyFill="1" applyBorder="1" applyAlignment="1">
      <alignment horizontal="right" vertical="center"/>
    </xf>
    <xf numFmtId="0" fontId="8" fillId="54" borderId="0" xfId="0" applyFont="1" applyFill="1" applyBorder="1" applyAlignment="1">
      <alignment horizontal="right" vertical="center"/>
    </xf>
    <xf numFmtId="0" fontId="2" fillId="0" borderId="0" xfId="7" applyAlignment="1">
      <alignment horizontal="center"/>
    </xf>
    <xf numFmtId="0" fontId="5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8" fillId="54" borderId="169" xfId="0" applyFont="1" applyFill="1" applyBorder="1" applyAlignment="1">
      <alignment horizontal="center" vertical="center" wrapText="1"/>
    </xf>
    <xf numFmtId="0" fontId="8" fillId="54" borderId="0" xfId="0" applyFont="1" applyFill="1" applyBorder="1" applyAlignment="1">
      <alignment horizontal="center" vertical="center" wrapText="1"/>
    </xf>
    <xf numFmtId="10" fontId="8" fillId="54" borderId="0" xfId="7" applyNumberFormat="1" applyFont="1" applyFill="1" applyBorder="1" applyAlignment="1">
      <alignment horizontal="center" vertical="center" wrapText="1"/>
    </xf>
    <xf numFmtId="10" fontId="8" fillId="54" borderId="149" xfId="7" applyNumberFormat="1" applyFont="1" applyFill="1" applyBorder="1" applyAlignment="1">
      <alignment horizontal="center" vertical="center" wrapText="1"/>
    </xf>
    <xf numFmtId="4" fontId="8" fillId="54" borderId="0" xfId="7" applyNumberFormat="1" applyFont="1" applyFill="1" applyBorder="1" applyAlignment="1">
      <alignment horizontal="center" vertical="center" wrapText="1"/>
    </xf>
    <xf numFmtId="4" fontId="5" fillId="54" borderId="0" xfId="7" applyNumberFormat="1" applyFont="1" applyFill="1" applyBorder="1" applyAlignment="1">
      <alignment horizontal="center" vertical="center" wrapText="1"/>
    </xf>
    <xf numFmtId="0" fontId="5" fillId="54" borderId="169" xfId="7" applyFont="1" applyFill="1" applyBorder="1" applyAlignment="1">
      <alignment horizontal="center" vertical="center" wrapText="1"/>
    </xf>
    <xf numFmtId="0" fontId="5" fillId="54" borderId="0" xfId="7" applyFont="1" applyFill="1" applyBorder="1" applyAlignment="1">
      <alignment horizontal="center" vertical="center" wrapText="1"/>
    </xf>
    <xf numFmtId="0" fontId="30" fillId="46" borderId="161" xfId="0" applyFont="1" applyFill="1" applyBorder="1" applyAlignment="1">
      <alignment wrapText="1"/>
    </xf>
    <xf numFmtId="0" fontId="30" fillId="46" borderId="0" xfId="0" applyFont="1" applyFill="1" applyBorder="1" applyAlignment="1">
      <alignment wrapText="1"/>
    </xf>
    <xf numFmtId="0" fontId="30" fillId="46" borderId="149" xfId="0" applyFont="1" applyFill="1" applyBorder="1" applyAlignment="1">
      <alignment wrapText="1"/>
    </xf>
    <xf numFmtId="4" fontId="5" fillId="54" borderId="0" xfId="7" applyNumberFormat="1" applyFont="1" applyFill="1" applyBorder="1" applyAlignment="1">
      <alignment horizontal="center" vertical="top" wrapText="1"/>
    </xf>
    <xf numFmtId="4" fontId="8" fillId="54" borderId="0" xfId="7" applyNumberFormat="1" applyFont="1" applyFill="1" applyBorder="1" applyAlignment="1">
      <alignment horizontal="center" vertical="top" wrapText="1"/>
    </xf>
    <xf numFmtId="168" fontId="24" fillId="47" borderId="133" xfId="0" applyNumberFormat="1" applyFont="1" applyFill="1" applyBorder="1" applyAlignment="1">
      <alignment horizontal="center" vertical="center" wrapText="1"/>
    </xf>
    <xf numFmtId="168" fontId="61" fillId="47" borderId="195" xfId="0" applyNumberFormat="1" applyFont="1" applyFill="1" applyBorder="1" applyAlignment="1">
      <alignment horizontal="center" vertical="center" wrapText="1"/>
    </xf>
    <xf numFmtId="168" fontId="24" fillId="55" borderId="133" xfId="0" applyNumberFormat="1" applyFont="1" applyFill="1" applyBorder="1" applyAlignment="1">
      <alignment horizontal="center" vertical="center" wrapText="1"/>
    </xf>
    <xf numFmtId="168" fontId="61" fillId="55" borderId="195" xfId="0" applyNumberFormat="1" applyFont="1" applyFill="1" applyBorder="1" applyAlignment="1">
      <alignment horizontal="center" vertical="center" wrapText="1"/>
    </xf>
    <xf numFmtId="0" fontId="24" fillId="0" borderId="161" xfId="0" applyFont="1" applyBorder="1" applyAlignment="1">
      <alignment horizontal="center" vertical="center" wrapText="1"/>
    </xf>
    <xf numFmtId="0" fontId="4" fillId="0" borderId="161" xfId="0" applyFont="1" applyBorder="1" applyAlignment="1">
      <alignment horizontal="center" vertical="center" wrapText="1"/>
    </xf>
    <xf numFmtId="37" fontId="35" fillId="10" borderId="198" xfId="1" applyFont="1" applyFill="1" applyBorder="1" applyAlignment="1" applyProtection="1">
      <alignment horizontal="right" vertical="center"/>
      <protection locked="0"/>
    </xf>
    <xf numFmtId="37" fontId="35" fillId="10" borderId="166" xfId="1" applyFont="1" applyFill="1" applyBorder="1" applyAlignment="1" applyProtection="1">
      <alignment horizontal="right" vertical="center"/>
      <protection locked="0"/>
    </xf>
    <xf numFmtId="37" fontId="35" fillId="10" borderId="199" xfId="1" applyFont="1" applyFill="1" applyBorder="1" applyAlignment="1" applyProtection="1">
      <alignment horizontal="right" vertical="center"/>
      <protection locked="0"/>
    </xf>
    <xf numFmtId="3" fontId="24" fillId="15" borderId="135" xfId="0" applyNumberFormat="1" applyFont="1" applyFill="1" applyBorder="1" applyAlignment="1" applyProtection="1">
      <alignment horizontal="center" vertical="center" wrapText="1"/>
      <protection locked="0"/>
    </xf>
    <xf numFmtId="3" fontId="61" fillId="0" borderId="220" xfId="0" applyNumberFormat="1" applyFont="1" applyBorder="1" applyAlignment="1" applyProtection="1">
      <alignment horizontal="center" vertical="center" wrapText="1"/>
      <protection locked="0"/>
    </xf>
    <xf numFmtId="4" fontId="24" fillId="15" borderId="140" xfId="0" applyNumberFormat="1" applyFont="1" applyFill="1" applyBorder="1" applyAlignment="1" applyProtection="1">
      <alignment horizontal="center" vertical="center" wrapText="1"/>
      <protection locked="0"/>
    </xf>
    <xf numFmtId="4" fontId="24" fillId="15" borderId="164" xfId="0" applyNumberFormat="1" applyFont="1" applyFill="1" applyBorder="1" applyAlignment="1" applyProtection="1">
      <alignment horizontal="center" vertical="center" wrapText="1"/>
      <protection locked="0"/>
    </xf>
    <xf numFmtId="4" fontId="24" fillId="15" borderId="190" xfId="0" applyNumberFormat="1" applyFont="1" applyFill="1" applyBorder="1" applyAlignment="1" applyProtection="1">
      <alignment horizontal="center" vertical="center" wrapText="1"/>
      <protection locked="0"/>
    </xf>
    <xf numFmtId="4" fontId="24" fillId="15" borderId="172" xfId="0" applyNumberFormat="1" applyFont="1" applyFill="1" applyBorder="1" applyAlignment="1" applyProtection="1">
      <alignment horizontal="center" vertical="center" wrapText="1"/>
      <protection locked="0"/>
    </xf>
    <xf numFmtId="3" fontId="24" fillId="0" borderId="148" xfId="0" applyNumberFormat="1" applyFont="1" applyFill="1" applyBorder="1" applyAlignment="1" applyProtection="1">
      <alignment horizontal="center" vertical="center" wrapText="1"/>
      <protection locked="0"/>
    </xf>
    <xf numFmtId="0" fontId="61" fillId="0" borderId="148" xfId="0" applyFont="1" applyFill="1" applyBorder="1" applyAlignment="1" applyProtection="1">
      <alignment horizontal="center" vertical="center" wrapText="1"/>
      <protection locked="0"/>
    </xf>
    <xf numFmtId="3" fontId="24" fillId="30" borderId="133" xfId="0" applyNumberFormat="1" applyFont="1" applyFill="1" applyBorder="1" applyAlignment="1" applyProtection="1">
      <alignment horizontal="center" vertical="center" wrapText="1"/>
      <protection locked="0"/>
    </xf>
    <xf numFmtId="3" fontId="24" fillId="30" borderId="195" xfId="0" applyNumberFormat="1" applyFont="1" applyFill="1" applyBorder="1" applyAlignment="1" applyProtection="1">
      <alignment horizontal="center" vertical="center" wrapText="1"/>
      <protection locked="0"/>
    </xf>
    <xf numFmtId="3" fontId="24" fillId="32" borderId="133" xfId="0" applyNumberFormat="1" applyFont="1" applyFill="1" applyBorder="1" applyAlignment="1">
      <alignment horizontal="center" vertical="center" wrapText="1"/>
    </xf>
    <xf numFmtId="3" fontId="24" fillId="32" borderId="195" xfId="0" applyNumberFormat="1" applyFont="1" applyFill="1" applyBorder="1" applyAlignment="1">
      <alignment horizontal="center" vertical="center" wrapText="1"/>
    </xf>
    <xf numFmtId="10" fontId="72" fillId="0" borderId="150" xfId="0" applyNumberFormat="1" applyFont="1" applyBorder="1" applyAlignment="1">
      <alignment horizontal="center" vertical="top" wrapText="1"/>
    </xf>
    <xf numFmtId="10" fontId="72" fillId="0" borderId="195" xfId="0" applyNumberFormat="1" applyFont="1" applyBorder="1" applyAlignment="1">
      <alignment horizontal="center" vertical="top" wrapText="1"/>
    </xf>
    <xf numFmtId="0" fontId="24" fillId="15" borderId="140" xfId="9" applyFont="1" applyFill="1" applyBorder="1" applyAlignment="1" applyProtection="1">
      <alignment horizontal="left" vertical="center" wrapText="1"/>
      <protection locked="0"/>
    </xf>
    <xf numFmtId="0" fontId="61" fillId="0" borderId="167" xfId="0" applyFont="1" applyBorder="1"/>
    <xf numFmtId="0" fontId="61" fillId="0" borderId="190" xfId="0" applyFont="1" applyBorder="1"/>
    <xf numFmtId="0" fontId="61" fillId="0" borderId="180" xfId="0" applyFont="1" applyBorder="1"/>
    <xf numFmtId="0" fontId="24" fillId="15" borderId="201" xfId="9" applyFont="1" applyFill="1" applyBorder="1" applyAlignment="1" applyProtection="1">
      <alignment horizontal="left" vertical="center" wrapText="1"/>
      <protection locked="0"/>
    </xf>
    <xf numFmtId="0" fontId="24" fillId="15" borderId="199" xfId="9" applyFont="1" applyFill="1" applyBorder="1" applyAlignment="1" applyProtection="1">
      <alignment horizontal="left" vertical="center" wrapText="1"/>
      <protection locked="0"/>
    </xf>
    <xf numFmtId="3" fontId="24" fillId="15" borderId="133" xfId="0" applyNumberFormat="1" applyFont="1" applyFill="1" applyBorder="1" applyAlignment="1" applyProtection="1">
      <alignment horizontal="center" vertical="center" wrapText="1"/>
      <protection locked="0"/>
    </xf>
    <xf numFmtId="3" fontId="24" fillId="15" borderId="195" xfId="0" applyNumberFormat="1" applyFont="1" applyFill="1" applyBorder="1" applyAlignment="1" applyProtection="1">
      <alignment horizontal="center" vertical="center" wrapText="1"/>
      <protection locked="0"/>
    </xf>
    <xf numFmtId="168" fontId="24" fillId="15" borderId="133" xfId="0" applyNumberFormat="1" applyFont="1" applyFill="1" applyBorder="1" applyAlignment="1" applyProtection="1">
      <alignment horizontal="center" vertical="center" wrapText="1"/>
      <protection locked="0"/>
    </xf>
    <xf numFmtId="168" fontId="61" fillId="0" borderId="195" xfId="0" applyNumberFormat="1" applyFont="1" applyBorder="1" applyAlignment="1" applyProtection="1">
      <alignment horizontal="center" vertical="center" wrapText="1"/>
      <protection locked="0"/>
    </xf>
    <xf numFmtId="0" fontId="61" fillId="0" borderId="161" xfId="0" applyFont="1" applyBorder="1" applyAlignment="1">
      <alignment wrapText="1"/>
    </xf>
    <xf numFmtId="0" fontId="29" fillId="0" borderId="161" xfId="0" applyFont="1" applyBorder="1" applyAlignment="1">
      <alignment wrapText="1"/>
    </xf>
    <xf numFmtId="10" fontId="24" fillId="0" borderId="150" xfId="0" applyNumberFormat="1" applyFont="1" applyBorder="1" applyAlignment="1">
      <alignment horizontal="center" vertical="center" wrapText="1"/>
    </xf>
    <xf numFmtId="10" fontId="24" fillId="0" borderId="195" xfId="0" applyNumberFormat="1" applyFont="1" applyBorder="1" applyAlignment="1">
      <alignment horizontal="center" vertical="center" wrapText="1"/>
    </xf>
    <xf numFmtId="168" fontId="24" fillId="15" borderId="133" xfId="0" applyNumberFormat="1" applyFont="1" applyFill="1" applyBorder="1" applyAlignment="1">
      <alignment horizontal="center" vertical="center" wrapText="1"/>
    </xf>
    <xf numFmtId="168" fontId="61" fillId="0" borderId="195" xfId="0" applyNumberFormat="1" applyFont="1" applyBorder="1" applyAlignment="1">
      <alignment horizontal="center" vertical="center" wrapText="1"/>
    </xf>
    <xf numFmtId="3" fontId="24" fillId="15" borderId="167" xfId="0" applyNumberFormat="1" applyFont="1" applyFill="1" applyBorder="1" applyAlignment="1" applyProtection="1">
      <alignment horizontal="center" vertical="center" wrapText="1"/>
      <protection locked="0"/>
    </xf>
    <xf numFmtId="0" fontId="61" fillId="0" borderId="180" xfId="0" applyFont="1" applyBorder="1" applyAlignment="1" applyProtection="1">
      <alignment horizontal="center" vertical="center" wrapText="1"/>
      <protection locked="0"/>
    </xf>
    <xf numFmtId="3" fontId="24" fillId="15" borderId="164" xfId="0" applyNumberFormat="1" applyFont="1" applyFill="1" applyBorder="1" applyAlignment="1" applyProtection="1">
      <alignment horizontal="center" vertical="center" wrapText="1"/>
      <protection locked="0"/>
    </xf>
    <xf numFmtId="0" fontId="61" fillId="0" borderId="172" xfId="0" applyFont="1" applyBorder="1" applyAlignment="1" applyProtection="1">
      <alignment horizontal="center" vertical="center" wrapText="1"/>
      <protection locked="0"/>
    </xf>
    <xf numFmtId="10" fontId="35" fillId="0" borderId="150" xfId="0" applyNumberFormat="1" applyFont="1" applyBorder="1" applyAlignment="1">
      <alignment horizontal="center" vertical="center" wrapText="1"/>
    </xf>
    <xf numFmtId="168" fontId="35" fillId="15" borderId="133" xfId="0" applyNumberFormat="1" applyFont="1" applyFill="1" applyBorder="1" applyAlignment="1">
      <alignment horizontal="center" vertical="center" wrapText="1"/>
    </xf>
    <xf numFmtId="168" fontId="36" fillId="0" borderId="195" xfId="0" applyNumberFormat="1" applyFont="1" applyBorder="1" applyAlignment="1">
      <alignment horizontal="center" vertical="center" wrapText="1"/>
    </xf>
    <xf numFmtId="169" fontId="35" fillId="0" borderId="161" xfId="0" applyNumberFormat="1" applyFont="1" applyBorder="1" applyAlignment="1">
      <alignment horizontal="center" vertical="center"/>
    </xf>
    <xf numFmtId="3" fontId="35" fillId="15" borderId="135" xfId="0" applyNumberFormat="1" applyFont="1" applyFill="1" applyBorder="1" applyAlignment="1" applyProtection="1">
      <alignment horizontal="center" vertical="center" wrapText="1"/>
      <protection locked="0"/>
    </xf>
    <xf numFmtId="3" fontId="36" fillId="0" borderId="220" xfId="0" applyNumberFormat="1" applyFont="1" applyBorder="1" applyAlignment="1" applyProtection="1">
      <alignment horizontal="center" vertical="center" wrapText="1"/>
      <protection locked="0"/>
    </xf>
    <xf numFmtId="3" fontId="35" fillId="15" borderId="167" xfId="0" applyNumberFormat="1" applyFont="1" applyFill="1" applyBorder="1" applyAlignment="1" applyProtection="1">
      <alignment horizontal="center" vertical="center" wrapText="1"/>
      <protection locked="0"/>
    </xf>
    <xf numFmtId="0" fontId="36" fillId="0" borderId="180" xfId="0" applyFont="1" applyBorder="1" applyAlignment="1" applyProtection="1">
      <alignment horizontal="center" vertical="center" wrapText="1"/>
      <protection locked="0"/>
    </xf>
    <xf numFmtId="4" fontId="35" fillId="15" borderId="164" xfId="0" applyNumberFormat="1" applyFont="1" applyFill="1" applyBorder="1" applyAlignment="1" applyProtection="1">
      <alignment horizontal="center" vertical="center" wrapText="1"/>
      <protection locked="0"/>
    </xf>
    <xf numFmtId="4" fontId="35" fillId="15" borderId="172" xfId="0" applyNumberFormat="1" applyFont="1" applyFill="1" applyBorder="1" applyAlignment="1" applyProtection="1">
      <alignment horizontal="center" vertical="center" wrapText="1"/>
      <protection locked="0"/>
    </xf>
    <xf numFmtId="3" fontId="35" fillId="15" borderId="164" xfId="0" applyNumberFormat="1" applyFont="1" applyFill="1" applyBorder="1" applyAlignment="1" applyProtection="1">
      <alignment horizontal="center" vertical="center" wrapText="1"/>
      <protection locked="0"/>
    </xf>
    <xf numFmtId="0" fontId="36" fillId="0" borderId="172" xfId="0" applyFont="1" applyBorder="1" applyAlignment="1" applyProtection="1">
      <alignment horizontal="center" vertical="center" wrapText="1"/>
      <protection locked="0"/>
    </xf>
    <xf numFmtId="3" fontId="35" fillId="30" borderId="133" xfId="0" applyNumberFormat="1" applyFont="1" applyFill="1" applyBorder="1" applyAlignment="1" applyProtection="1">
      <alignment horizontal="center" vertical="center" wrapText="1"/>
      <protection locked="0"/>
    </xf>
    <xf numFmtId="3" fontId="35" fillId="30" borderId="195" xfId="0" applyNumberFormat="1" applyFont="1" applyFill="1" applyBorder="1" applyAlignment="1" applyProtection="1">
      <alignment horizontal="center" vertical="center" wrapText="1"/>
      <protection locked="0"/>
    </xf>
    <xf numFmtId="3" fontId="35" fillId="32" borderId="133" xfId="0" applyNumberFormat="1" applyFont="1" applyFill="1" applyBorder="1" applyAlignment="1">
      <alignment horizontal="center" vertical="center" wrapText="1"/>
    </xf>
    <xf numFmtId="3" fontId="35" fillId="32" borderId="195" xfId="0" applyNumberFormat="1" applyFont="1" applyFill="1" applyBorder="1" applyAlignment="1">
      <alignment horizontal="center" vertical="center" wrapText="1"/>
    </xf>
    <xf numFmtId="0" fontId="35" fillId="15" borderId="140" xfId="9" applyFont="1" applyFill="1" applyBorder="1" applyAlignment="1" applyProtection="1">
      <alignment horizontal="left" vertical="center" wrapText="1"/>
      <protection locked="0"/>
    </xf>
    <xf numFmtId="0" fontId="36" fillId="0" borderId="167" xfId="0" applyFont="1" applyBorder="1"/>
    <xf numFmtId="0" fontId="36" fillId="0" borderId="190" xfId="0" applyFont="1" applyBorder="1"/>
    <xf numFmtId="0" fontId="36" fillId="0" borderId="180" xfId="0" applyFont="1" applyBorder="1"/>
    <xf numFmtId="0" fontId="35" fillId="15" borderId="201" xfId="9" applyFont="1" applyFill="1" applyBorder="1" applyAlignment="1" applyProtection="1">
      <alignment horizontal="left" vertical="center" wrapText="1"/>
      <protection locked="0"/>
    </xf>
    <xf numFmtId="0" fontId="35" fillId="15" borderId="199" xfId="9" applyFont="1" applyFill="1" applyBorder="1" applyAlignment="1" applyProtection="1">
      <alignment horizontal="left" vertical="center" wrapText="1"/>
      <protection locked="0"/>
    </xf>
    <xf numFmtId="3" fontId="35" fillId="15" borderId="133" xfId="0" applyNumberFormat="1" applyFont="1" applyFill="1" applyBorder="1" applyAlignment="1" applyProtection="1">
      <alignment horizontal="center" vertical="center" wrapText="1"/>
      <protection locked="0"/>
    </xf>
    <xf numFmtId="3" fontId="35" fillId="15" borderId="195" xfId="0" applyNumberFormat="1" applyFont="1" applyFill="1" applyBorder="1" applyAlignment="1" applyProtection="1">
      <alignment horizontal="center" vertical="center" wrapText="1"/>
      <protection locked="0"/>
    </xf>
    <xf numFmtId="168" fontId="35" fillId="15" borderId="133" xfId="0" applyNumberFormat="1" applyFont="1" applyFill="1" applyBorder="1" applyAlignment="1" applyProtection="1">
      <alignment horizontal="center" vertical="center" wrapText="1"/>
      <protection locked="0"/>
    </xf>
    <xf numFmtId="168" fontId="36" fillId="0" borderId="195" xfId="0" applyNumberFormat="1" applyFont="1" applyBorder="1" applyAlignment="1" applyProtection="1">
      <alignment horizontal="center" vertical="center" wrapText="1"/>
      <protection locked="0"/>
    </xf>
    <xf numFmtId="4" fontId="35" fillId="15" borderId="167" xfId="0" applyNumberFormat="1" applyFont="1" applyFill="1" applyBorder="1" applyAlignment="1" applyProtection="1">
      <alignment horizontal="center" vertical="center" wrapText="1"/>
      <protection locked="0"/>
    </xf>
    <xf numFmtId="4" fontId="35" fillId="15" borderId="180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150" xfId="0" applyFont="1" applyBorder="1" applyAlignment="1">
      <alignment horizontal="center" vertical="center" wrapText="1"/>
    </xf>
    <xf numFmtId="3" fontId="36" fillId="0" borderId="195" xfId="0" applyNumberFormat="1" applyFont="1" applyBorder="1" applyAlignment="1" applyProtection="1">
      <alignment horizontal="center" vertical="center" wrapText="1"/>
      <protection locked="0"/>
    </xf>
    <xf numFmtId="3" fontId="35" fillId="15" borderId="196" xfId="0" applyNumberFormat="1" applyFont="1" applyFill="1" applyBorder="1" applyAlignment="1" applyProtection="1">
      <alignment horizontal="center" vertical="center" wrapText="1"/>
      <protection locked="0"/>
    </xf>
    <xf numFmtId="0" fontId="36" fillId="0" borderId="197" xfId="0" applyFont="1" applyBorder="1" applyAlignment="1" applyProtection="1">
      <alignment horizontal="center" vertical="center" wrapText="1"/>
      <protection locked="0"/>
    </xf>
    <xf numFmtId="3" fontId="35" fillId="13" borderId="133" xfId="0" applyNumberFormat="1" applyFont="1" applyFill="1" applyBorder="1" applyAlignment="1" applyProtection="1">
      <alignment horizontal="center" vertical="center" wrapText="1"/>
      <protection locked="0"/>
    </xf>
    <xf numFmtId="3" fontId="35" fillId="13" borderId="195" xfId="0" applyNumberFormat="1" applyFont="1" applyFill="1" applyBorder="1" applyAlignment="1" applyProtection="1">
      <alignment horizontal="center" vertical="center" wrapText="1"/>
      <protection locked="0"/>
    </xf>
    <xf numFmtId="3" fontId="35" fillId="19" borderId="133" xfId="0" applyNumberFormat="1" applyFont="1" applyFill="1" applyBorder="1" applyAlignment="1">
      <alignment horizontal="center" vertical="center" wrapText="1"/>
    </xf>
    <xf numFmtId="3" fontId="35" fillId="19" borderId="195" xfId="0" applyNumberFormat="1" applyFont="1" applyFill="1" applyBorder="1" applyAlignment="1">
      <alignment horizontal="center" vertical="center" wrapText="1"/>
    </xf>
    <xf numFmtId="0" fontId="18" fillId="0" borderId="150" xfId="0" applyFont="1" applyBorder="1" applyAlignment="1">
      <alignment horizontal="center" vertical="center" wrapText="1"/>
    </xf>
    <xf numFmtId="0" fontId="18" fillId="15" borderId="140" xfId="9" applyFont="1" applyFill="1" applyBorder="1" applyAlignment="1" applyProtection="1">
      <alignment horizontal="left" vertical="center" wrapText="1"/>
      <protection locked="0"/>
    </xf>
    <xf numFmtId="0" fontId="38" fillId="0" borderId="167" xfId="0" applyFont="1" applyBorder="1"/>
    <xf numFmtId="0" fontId="38" fillId="0" borderId="190" xfId="0" applyFont="1" applyBorder="1"/>
    <xf numFmtId="0" fontId="38" fillId="0" borderId="180" xfId="0" applyFont="1" applyBorder="1"/>
    <xf numFmtId="168" fontId="33" fillId="15" borderId="133" xfId="0" applyNumberFormat="1" applyFont="1" applyFill="1" applyBorder="1" applyAlignment="1">
      <alignment horizontal="center" vertical="center" wrapText="1"/>
    </xf>
    <xf numFmtId="168" fontId="40" fillId="0" borderId="195" xfId="0" applyNumberFormat="1" applyFont="1" applyBorder="1" applyAlignment="1">
      <alignment horizontal="center" vertical="center" wrapText="1"/>
    </xf>
    <xf numFmtId="169" fontId="18" fillId="0" borderId="161" xfId="0" applyNumberFormat="1" applyFont="1" applyBorder="1" applyAlignment="1">
      <alignment horizontal="center" vertical="center"/>
    </xf>
    <xf numFmtId="3" fontId="33" fillId="19" borderId="133" xfId="0" applyNumberFormat="1" applyFont="1" applyFill="1" applyBorder="1" applyAlignment="1">
      <alignment horizontal="center" vertical="center" wrapText="1"/>
    </xf>
    <xf numFmtId="3" fontId="33" fillId="19" borderId="195" xfId="0" applyNumberFormat="1" applyFont="1" applyFill="1" applyBorder="1" applyAlignment="1">
      <alignment horizontal="center" vertical="center" wrapText="1"/>
    </xf>
    <xf numFmtId="3" fontId="18" fillId="15" borderId="133" xfId="0" applyNumberFormat="1" applyFont="1" applyFill="1" applyBorder="1" applyAlignment="1" applyProtection="1">
      <alignment horizontal="center" vertical="center" wrapText="1"/>
      <protection locked="0"/>
    </xf>
    <xf numFmtId="3" fontId="38" fillId="0" borderId="195" xfId="0" applyNumberFormat="1" applyFont="1" applyBorder="1" applyAlignment="1" applyProtection="1">
      <alignment horizontal="center" vertical="center" wrapText="1"/>
      <protection locked="0"/>
    </xf>
    <xf numFmtId="37" fontId="18" fillId="10" borderId="198" xfId="1" applyFont="1" applyFill="1" applyBorder="1" applyAlignment="1" applyProtection="1">
      <alignment horizontal="right" vertical="center"/>
      <protection locked="0"/>
    </xf>
    <xf numFmtId="37" fontId="18" fillId="10" borderId="166" xfId="1" applyFont="1" applyFill="1" applyBorder="1" applyAlignment="1" applyProtection="1">
      <alignment horizontal="right" vertical="center"/>
      <protection locked="0"/>
    </xf>
    <xf numFmtId="37" fontId="18" fillId="10" borderId="199" xfId="1" applyFont="1" applyFill="1" applyBorder="1" applyAlignment="1" applyProtection="1">
      <alignment horizontal="right" vertical="center"/>
      <protection locked="0"/>
    </xf>
    <xf numFmtId="4" fontId="18" fillId="15" borderId="167" xfId="0" applyNumberFormat="1" applyFont="1" applyFill="1" applyBorder="1" applyAlignment="1" applyProtection="1">
      <alignment horizontal="center" vertical="center" wrapText="1"/>
      <protection locked="0"/>
    </xf>
    <xf numFmtId="4" fontId="18" fillId="15" borderId="180" xfId="0" applyNumberFormat="1" applyFont="1" applyFill="1" applyBorder="1" applyAlignment="1" applyProtection="1">
      <alignment horizontal="center" vertical="center" wrapText="1"/>
      <protection locked="0"/>
    </xf>
    <xf numFmtId="3" fontId="18" fillId="15" borderId="164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172" xfId="0" applyFont="1" applyBorder="1" applyAlignment="1" applyProtection="1">
      <alignment horizontal="center" vertical="center" wrapText="1"/>
      <protection locked="0"/>
    </xf>
    <xf numFmtId="3" fontId="33" fillId="13" borderId="133" xfId="0" applyNumberFormat="1" applyFont="1" applyFill="1" applyBorder="1" applyAlignment="1" applyProtection="1">
      <alignment horizontal="center" vertical="center" wrapText="1"/>
      <protection locked="0"/>
    </xf>
    <xf numFmtId="3" fontId="33" fillId="13" borderId="195" xfId="0" applyNumberFormat="1" applyFont="1" applyFill="1" applyBorder="1" applyAlignment="1" applyProtection="1">
      <alignment horizontal="center" vertical="center" wrapText="1"/>
      <protection locked="0"/>
    </xf>
    <xf numFmtId="168" fontId="18" fillId="15" borderId="133" xfId="0" applyNumberFormat="1" applyFont="1" applyFill="1" applyBorder="1" applyAlignment="1" applyProtection="1">
      <alignment horizontal="center" vertical="center" wrapText="1"/>
      <protection locked="0"/>
    </xf>
    <xf numFmtId="168" fontId="38" fillId="0" borderId="195" xfId="0" applyNumberFormat="1" applyFont="1" applyBorder="1" applyAlignment="1" applyProtection="1">
      <alignment horizontal="center" vertical="center" wrapText="1"/>
      <protection locked="0"/>
    </xf>
    <xf numFmtId="168" fontId="13" fillId="0" borderId="195" xfId="0" applyNumberFormat="1" applyFont="1" applyBorder="1" applyAlignment="1" applyProtection="1">
      <alignment horizontal="center" vertical="center" wrapText="1"/>
      <protection locked="0"/>
    </xf>
    <xf numFmtId="3" fontId="18" fillId="15" borderId="196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197" xfId="0" applyFont="1" applyBorder="1" applyAlignment="1" applyProtection="1">
      <alignment horizontal="center" vertical="center" wrapText="1"/>
      <protection locked="0"/>
    </xf>
    <xf numFmtId="0" fontId="18" fillId="15" borderId="201" xfId="9" applyFont="1" applyFill="1" applyBorder="1" applyAlignment="1" applyProtection="1">
      <alignment horizontal="left" vertical="center" wrapText="1"/>
      <protection locked="0"/>
    </xf>
    <xf numFmtId="0" fontId="18" fillId="15" borderId="199" xfId="9" applyFont="1" applyFill="1" applyBorder="1" applyAlignment="1" applyProtection="1">
      <alignment horizontal="left" vertical="center" wrapText="1"/>
      <protection locked="0"/>
    </xf>
    <xf numFmtId="3" fontId="18" fillId="15" borderId="195" xfId="0" applyNumberFormat="1" applyFont="1" applyFill="1" applyBorder="1" applyAlignment="1" applyProtection="1">
      <alignment horizontal="center" vertical="center" wrapText="1"/>
      <protection locked="0"/>
    </xf>
    <xf numFmtId="169" fontId="26" fillId="0" borderId="161" xfId="0" applyNumberFormat="1" applyFont="1" applyBorder="1" applyAlignment="1">
      <alignment horizontal="center" vertical="center"/>
    </xf>
    <xf numFmtId="3" fontId="20" fillId="15" borderId="164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172" xfId="0" applyFont="1" applyBorder="1" applyAlignment="1" applyProtection="1">
      <alignment horizontal="center" vertical="center" wrapText="1"/>
      <protection locked="0"/>
    </xf>
    <xf numFmtId="3" fontId="26" fillId="13" borderId="133" xfId="0" applyNumberFormat="1" applyFont="1" applyFill="1" applyBorder="1" applyAlignment="1" applyProtection="1">
      <alignment horizontal="center" vertical="center" wrapText="1"/>
      <protection locked="0"/>
    </xf>
    <xf numFmtId="3" fontId="26" fillId="13" borderId="195" xfId="0" applyNumberFormat="1" applyFont="1" applyFill="1" applyBorder="1" applyAlignment="1" applyProtection="1">
      <alignment horizontal="center" vertical="center" wrapText="1"/>
      <protection locked="0"/>
    </xf>
    <xf numFmtId="3" fontId="26" fillId="19" borderId="133" xfId="0" applyNumberFormat="1" applyFont="1" applyFill="1" applyBorder="1" applyAlignment="1">
      <alignment horizontal="center" vertical="center" wrapText="1"/>
    </xf>
    <xf numFmtId="3" fontId="26" fillId="19" borderId="195" xfId="0" applyNumberFormat="1" applyFont="1" applyFill="1" applyBorder="1" applyAlignment="1">
      <alignment horizontal="center" vertical="center" wrapText="1"/>
    </xf>
    <xf numFmtId="4" fontId="18" fillId="15" borderId="133" xfId="0" applyNumberFormat="1" applyFont="1" applyFill="1" applyBorder="1" applyAlignment="1" applyProtection="1">
      <alignment horizontal="center" vertical="center" wrapText="1"/>
      <protection locked="0"/>
    </xf>
    <xf numFmtId="4" fontId="32" fillId="0" borderId="195" xfId="0" applyNumberFormat="1" applyFont="1" applyBorder="1" applyAlignment="1" applyProtection="1">
      <alignment horizontal="center" vertical="center" wrapText="1"/>
      <protection locked="0"/>
    </xf>
    <xf numFmtId="4" fontId="13" fillId="0" borderId="195" xfId="0" applyNumberFormat="1" applyFont="1" applyBorder="1" applyAlignment="1" applyProtection="1">
      <alignment horizontal="center" vertical="center" wrapText="1"/>
      <protection locked="0"/>
    </xf>
    <xf numFmtId="3" fontId="32" fillId="0" borderId="195" xfId="0" applyNumberFormat="1" applyFont="1" applyBorder="1" applyAlignment="1" applyProtection="1">
      <alignment horizontal="center" vertical="center" wrapText="1"/>
      <protection locked="0"/>
    </xf>
    <xf numFmtId="0" fontId="32" fillId="0" borderId="197" xfId="0" applyFont="1" applyBorder="1" applyAlignment="1" applyProtection="1">
      <alignment horizontal="center" vertical="center" wrapText="1"/>
      <protection locked="0"/>
    </xf>
    <xf numFmtId="0" fontId="18" fillId="15" borderId="202" xfId="9" applyFont="1" applyFill="1" applyBorder="1" applyAlignment="1" applyProtection="1">
      <alignment horizontal="left" vertical="center" wrapText="1"/>
      <protection locked="0"/>
    </xf>
    <xf numFmtId="0" fontId="18" fillId="15" borderId="198" xfId="9" applyFont="1" applyFill="1" applyBorder="1" applyAlignment="1" applyProtection="1">
      <alignment horizontal="left" vertical="center" wrapText="1"/>
      <protection locked="0"/>
    </xf>
    <xf numFmtId="168" fontId="26" fillId="15" borderId="133" xfId="0" applyNumberFormat="1" applyFont="1" applyFill="1" applyBorder="1" applyAlignment="1">
      <alignment horizontal="center" vertical="center" wrapText="1"/>
    </xf>
    <xf numFmtId="168" fontId="12" fillId="0" borderId="195" xfId="0" applyNumberFormat="1" applyFont="1" applyBorder="1" applyAlignment="1">
      <alignment horizontal="center" vertical="center" wrapText="1"/>
    </xf>
    <xf numFmtId="37" fontId="26" fillId="10" borderId="198" xfId="1" applyFont="1" applyFill="1" applyBorder="1" applyAlignment="1" applyProtection="1">
      <alignment horizontal="right" vertical="center"/>
      <protection locked="0"/>
    </xf>
    <xf numFmtId="37" fontId="26" fillId="10" borderId="166" xfId="1" applyFont="1" applyFill="1" applyBorder="1" applyAlignment="1" applyProtection="1">
      <alignment horizontal="right" vertical="center"/>
      <protection locked="0"/>
    </xf>
    <xf numFmtId="37" fontId="26" fillId="10" borderId="199" xfId="1" applyFont="1" applyFill="1" applyBorder="1" applyAlignment="1" applyProtection="1">
      <alignment horizontal="right" vertical="center"/>
      <protection locked="0"/>
    </xf>
    <xf numFmtId="4" fontId="26" fillId="15" borderId="167" xfId="0" applyNumberFormat="1" applyFont="1" applyFill="1" applyBorder="1" applyAlignment="1" applyProtection="1">
      <alignment horizontal="center" vertical="center" wrapText="1"/>
      <protection locked="0"/>
    </xf>
    <xf numFmtId="4" fontId="26" fillId="15" borderId="180" xfId="0" applyNumberFormat="1" applyFont="1" applyFill="1" applyBorder="1" applyAlignment="1" applyProtection="1">
      <alignment horizontal="center" vertical="center" wrapText="1"/>
      <protection locked="0"/>
    </xf>
    <xf numFmtId="4" fontId="26" fillId="15" borderId="133" xfId="0" applyNumberFormat="1" applyFont="1" applyFill="1" applyBorder="1" applyAlignment="1" applyProtection="1">
      <alignment horizontal="center" vertical="center" wrapText="1"/>
      <protection locked="0"/>
    </xf>
    <xf numFmtId="4" fontId="29" fillId="0" borderId="195" xfId="0" applyNumberFormat="1" applyFont="1" applyBorder="1" applyAlignment="1" applyProtection="1">
      <alignment horizontal="center" vertical="center" wrapText="1"/>
      <protection locked="0"/>
    </xf>
    <xf numFmtId="4" fontId="28" fillId="0" borderId="195" xfId="0" applyNumberFormat="1" applyFont="1" applyBorder="1" applyAlignment="1" applyProtection="1">
      <alignment horizontal="center" vertical="center" wrapText="1"/>
      <protection locked="0"/>
    </xf>
    <xf numFmtId="3" fontId="26" fillId="15" borderId="133" xfId="0" applyNumberFormat="1" applyFont="1" applyFill="1" applyBorder="1" applyAlignment="1" applyProtection="1">
      <alignment horizontal="center" vertical="center" wrapText="1"/>
      <protection locked="0"/>
    </xf>
    <xf numFmtId="3" fontId="29" fillId="0" borderId="195" xfId="0" applyNumberFormat="1" applyFont="1" applyBorder="1" applyAlignment="1" applyProtection="1">
      <alignment horizontal="center" vertical="center" wrapText="1"/>
      <protection locked="0"/>
    </xf>
    <xf numFmtId="3" fontId="20" fillId="15" borderId="196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197" xfId="0" applyFont="1" applyBorder="1" applyAlignment="1" applyProtection="1">
      <alignment horizontal="center" vertical="center" wrapText="1"/>
      <protection locked="0"/>
    </xf>
    <xf numFmtId="0" fontId="26" fillId="15" borderId="202" xfId="9" applyFont="1" applyFill="1" applyBorder="1" applyAlignment="1" applyProtection="1">
      <alignment horizontal="left" vertical="center" wrapText="1"/>
      <protection locked="0"/>
    </xf>
    <xf numFmtId="0" fontId="26" fillId="15" borderId="198" xfId="9" applyFont="1" applyFill="1" applyBorder="1" applyAlignment="1" applyProtection="1">
      <alignment horizontal="left" vertical="center" wrapText="1"/>
      <protection locked="0"/>
    </xf>
    <xf numFmtId="0" fontId="26" fillId="15" borderId="201" xfId="9" applyFont="1" applyFill="1" applyBorder="1" applyAlignment="1" applyProtection="1">
      <alignment horizontal="left" vertical="center" wrapText="1"/>
      <protection locked="0"/>
    </xf>
    <xf numFmtId="0" fontId="26" fillId="15" borderId="199" xfId="9" applyFont="1" applyFill="1" applyBorder="1" applyAlignment="1" applyProtection="1">
      <alignment horizontal="left" vertical="center" wrapText="1"/>
      <protection locked="0"/>
    </xf>
    <xf numFmtId="3" fontId="26" fillId="15" borderId="195" xfId="0" applyNumberFormat="1" applyFont="1" applyFill="1" applyBorder="1" applyAlignment="1" applyProtection="1">
      <alignment horizontal="center" vertical="center" wrapText="1"/>
      <protection locked="0"/>
    </xf>
    <xf numFmtId="3" fontId="26" fillId="15" borderId="133" xfId="0" applyNumberFormat="1" applyFont="1" applyFill="1" applyBorder="1" applyAlignment="1">
      <alignment horizontal="center" vertical="center" wrapText="1"/>
    </xf>
    <xf numFmtId="3" fontId="26" fillId="15" borderId="195" xfId="0" applyNumberFormat="1" applyFont="1" applyFill="1" applyBorder="1" applyAlignment="1">
      <alignment horizontal="center" vertical="center" wrapText="1"/>
    </xf>
    <xf numFmtId="0" fontId="26" fillId="0" borderId="161" xfId="0" applyFont="1" applyBorder="1" applyAlignment="1">
      <alignment horizontal="center" vertical="center"/>
    </xf>
    <xf numFmtId="2" fontId="26" fillId="15" borderId="133" xfId="0" applyNumberFormat="1" applyFont="1" applyFill="1" applyBorder="1" applyAlignment="1">
      <alignment horizontal="center" vertical="center" wrapText="1"/>
    </xf>
    <xf numFmtId="2" fontId="12" fillId="0" borderId="195" xfId="0" applyNumberFormat="1" applyFont="1" applyBorder="1" applyAlignment="1">
      <alignment horizontal="center" vertical="center" wrapText="1"/>
    </xf>
    <xf numFmtId="37" fontId="26" fillId="10" borderId="198" xfId="1" applyFont="1" applyFill="1" applyBorder="1" applyAlignment="1">
      <alignment horizontal="right" vertical="center"/>
    </xf>
    <xf numFmtId="37" fontId="26" fillId="10" borderId="199" xfId="1" applyFont="1" applyFill="1" applyBorder="1" applyAlignment="1">
      <alignment horizontal="right" vertical="center"/>
    </xf>
    <xf numFmtId="4" fontId="26" fillId="15" borderId="133" xfId="0" applyNumberFormat="1" applyFont="1" applyFill="1" applyBorder="1" applyAlignment="1">
      <alignment horizontal="center" vertical="center" wrapText="1"/>
    </xf>
    <xf numFmtId="0" fontId="0" fillId="0" borderId="195" xfId="0" applyBorder="1" applyAlignment="1">
      <alignment horizontal="center" vertical="center" wrapText="1"/>
    </xf>
    <xf numFmtId="3" fontId="20" fillId="15" borderId="133" xfId="0" applyNumberFormat="1" applyFont="1" applyFill="1" applyBorder="1" applyAlignment="1">
      <alignment horizontal="center" vertical="center" wrapText="1"/>
    </xf>
    <xf numFmtId="3" fontId="0" fillId="0" borderId="195" xfId="0" applyNumberFormat="1" applyBorder="1" applyAlignment="1">
      <alignment horizontal="center" vertical="center" wrapText="1"/>
    </xf>
    <xf numFmtId="3" fontId="20" fillId="15" borderId="196" xfId="0" applyNumberFormat="1" applyFont="1" applyFill="1" applyBorder="1" applyAlignment="1">
      <alignment horizontal="center" vertical="center" wrapText="1"/>
    </xf>
    <xf numFmtId="0" fontId="0" fillId="0" borderId="197" xfId="0" applyBorder="1" applyAlignment="1">
      <alignment horizontal="center" vertical="center" wrapText="1"/>
    </xf>
    <xf numFmtId="2" fontId="26" fillId="15" borderId="167" xfId="0" applyNumberFormat="1" applyFont="1" applyFill="1" applyBorder="1" applyAlignment="1">
      <alignment horizontal="left" vertical="center" wrapText="1"/>
    </xf>
    <xf numFmtId="2" fontId="26" fillId="15" borderId="180" xfId="0" applyNumberFormat="1" applyFont="1" applyFill="1" applyBorder="1" applyAlignment="1">
      <alignment horizontal="left" vertical="center" wrapText="1"/>
    </xf>
    <xf numFmtId="0" fontId="26" fillId="15" borderId="202" xfId="9" applyFont="1" applyFill="1" applyBorder="1" applyAlignment="1">
      <alignment horizontal="left" vertical="center" wrapText="1"/>
    </xf>
    <xf numFmtId="0" fontId="26" fillId="15" borderId="198" xfId="9" applyFont="1" applyFill="1" applyBorder="1" applyAlignment="1">
      <alignment horizontal="left" vertical="center" wrapText="1"/>
    </xf>
    <xf numFmtId="0" fontId="26" fillId="15" borderId="201" xfId="9" applyFont="1" applyFill="1" applyBorder="1" applyAlignment="1">
      <alignment horizontal="left" vertical="center" wrapText="1"/>
    </xf>
    <xf numFmtId="0" fontId="26" fillId="15" borderId="199" xfId="9" applyFont="1" applyFill="1" applyBorder="1" applyAlignment="1">
      <alignment horizontal="left" vertical="center" wrapText="1"/>
    </xf>
    <xf numFmtId="4" fontId="0" fillId="0" borderId="195" xfId="0" applyNumberFormat="1" applyBorder="1" applyAlignment="1">
      <alignment horizontal="center" vertical="center" wrapText="1"/>
    </xf>
    <xf numFmtId="2" fontId="26" fillId="15" borderId="164" xfId="0" applyNumberFormat="1" applyFont="1" applyFill="1" applyBorder="1" applyAlignment="1">
      <alignment horizontal="left" vertical="center" wrapText="1"/>
    </xf>
    <xf numFmtId="2" fontId="26" fillId="15" borderId="172" xfId="0" applyNumberFormat="1" applyFont="1" applyFill="1" applyBorder="1" applyAlignment="1">
      <alignment horizontal="left" vertical="center" wrapText="1"/>
    </xf>
    <xf numFmtId="0" fontId="20" fillId="15" borderId="133" xfId="0" applyFont="1" applyFill="1" applyBorder="1" applyAlignment="1">
      <alignment horizontal="center" vertical="center" wrapText="1"/>
    </xf>
    <xf numFmtId="0" fontId="20" fillId="15" borderId="195" xfId="0" applyFont="1" applyFill="1" applyBorder="1" applyAlignment="1">
      <alignment horizontal="center" vertical="center" wrapText="1"/>
    </xf>
    <xf numFmtId="165" fontId="26" fillId="15" borderId="133" xfId="0" applyNumberFormat="1" applyFont="1" applyFill="1" applyBorder="1" applyAlignment="1">
      <alignment horizontal="center" vertical="center" wrapText="1"/>
    </xf>
    <xf numFmtId="165" fontId="26" fillId="15" borderId="195" xfId="0" applyNumberFormat="1" applyFont="1" applyFill="1" applyBorder="1" applyAlignment="1">
      <alignment horizontal="center" vertical="center" wrapText="1"/>
    </xf>
    <xf numFmtId="2" fontId="26" fillId="15" borderId="164" xfId="0" applyNumberFormat="1" applyFont="1" applyFill="1" applyBorder="1" applyAlignment="1">
      <alignment horizontal="center" vertical="center" wrapText="1"/>
    </xf>
    <xf numFmtId="2" fontId="26" fillId="15" borderId="172" xfId="0" applyNumberFormat="1" applyFont="1" applyFill="1" applyBorder="1" applyAlignment="1">
      <alignment horizontal="center" vertical="center" wrapText="1"/>
    </xf>
    <xf numFmtId="0" fontId="24" fillId="15" borderId="133" xfId="0" applyFont="1" applyFill="1" applyBorder="1" applyAlignment="1">
      <alignment horizontal="center" vertical="center" wrapText="1"/>
    </xf>
    <xf numFmtId="0" fontId="24" fillId="15" borderId="195" xfId="0" applyFont="1" applyFill="1" applyBorder="1" applyAlignment="1">
      <alignment horizontal="center" vertical="center" wrapText="1"/>
    </xf>
    <xf numFmtId="2" fontId="24" fillId="15" borderId="164" xfId="0" applyNumberFormat="1" applyFont="1" applyFill="1" applyBorder="1" applyAlignment="1">
      <alignment horizontal="center" vertical="center" wrapText="1"/>
    </xf>
    <xf numFmtId="2" fontId="24" fillId="15" borderId="172" xfId="0" applyNumberFormat="1" applyFont="1" applyFill="1" applyBorder="1" applyAlignment="1">
      <alignment horizontal="center" vertical="center" wrapText="1"/>
    </xf>
    <xf numFmtId="37" fontId="24" fillId="10" borderId="198" xfId="1" applyFont="1" applyFill="1" applyBorder="1" applyAlignment="1">
      <alignment horizontal="right" vertical="center"/>
    </xf>
    <xf numFmtId="37" fontId="24" fillId="10" borderId="199" xfId="1" applyFont="1" applyFill="1" applyBorder="1" applyAlignment="1">
      <alignment horizontal="right" vertical="center"/>
    </xf>
    <xf numFmtId="0" fontId="24" fillId="15" borderId="202" xfId="9" applyFont="1" applyFill="1" applyBorder="1" applyAlignment="1">
      <alignment horizontal="left" vertical="center" wrapText="1"/>
    </xf>
    <xf numFmtId="0" fontId="24" fillId="15" borderId="198" xfId="9" applyFont="1" applyFill="1" applyBorder="1" applyAlignment="1">
      <alignment horizontal="left" vertical="center" wrapText="1"/>
    </xf>
    <xf numFmtId="0" fontId="24" fillId="15" borderId="201" xfId="9" applyFont="1" applyFill="1" applyBorder="1" applyAlignment="1">
      <alignment horizontal="left" vertical="center" wrapText="1"/>
    </xf>
    <xf numFmtId="0" fontId="24" fillId="15" borderId="199" xfId="9" applyFont="1" applyFill="1" applyBorder="1" applyAlignment="1">
      <alignment horizontal="left" vertical="center" wrapText="1"/>
    </xf>
    <xf numFmtId="165" fontId="24" fillId="15" borderId="133" xfId="0" applyNumberFormat="1" applyFont="1" applyFill="1" applyBorder="1" applyAlignment="1">
      <alignment horizontal="center" vertical="center" wrapText="1"/>
    </xf>
    <xf numFmtId="165" fontId="24" fillId="15" borderId="195" xfId="0" applyNumberFormat="1" applyFont="1" applyFill="1" applyBorder="1" applyAlignment="1">
      <alignment horizontal="center" vertical="center" wrapText="1"/>
    </xf>
    <xf numFmtId="0" fontId="18" fillId="0" borderId="0" xfId="8" applyFont="1" applyAlignment="1">
      <alignment horizontal="center" vertical="center"/>
    </xf>
    <xf numFmtId="0" fontId="13" fillId="0" borderId="0" xfId="8" applyFont="1" applyAlignment="1">
      <alignment horizontal="center" vertical="center"/>
    </xf>
    <xf numFmtId="0" fontId="13" fillId="0" borderId="2" xfId="0" applyFont="1" applyBorder="1" applyAlignment="1">
      <alignment horizontal="center" vertical="center"/>
    </xf>
  </cellXfs>
  <cellStyles count="22">
    <cellStyle name="Comma" xfId="13" builtinId="3"/>
    <cellStyle name="Comma 2" xfId="18" xr:uid="{D244FE2E-91AD-4669-8170-7266178575FD}"/>
    <cellStyle name="Comma0" xfId="1" xr:uid="{00000000-0005-0000-0000-000000000000}"/>
    <cellStyle name="Currency" xfId="14" builtinId="4"/>
    <cellStyle name="Currency 2" xfId="19" xr:uid="{7115090A-1AAA-4271-ADB5-E8A2BE4EF9A2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Good" xfId="11" builtinId="26"/>
    <cellStyle name="Heading 1" xfId="5" builtinId="16" customBuiltin="1"/>
    <cellStyle name="Heading 2" xfId="6" builtinId="17" customBuiltin="1"/>
    <cellStyle name="Normal" xfId="0" builtinId="0"/>
    <cellStyle name="normal 2" xfId="7" xr:uid="{00000000-0005-0000-0000-000008000000}"/>
    <cellStyle name="Normal 3" xfId="16" xr:uid="{7D55C4EF-B325-4EF8-8C27-37288C5FB968}"/>
    <cellStyle name="Normal 4" xfId="20" xr:uid="{12224EDC-861A-4A90-8871-E5E70FD8B349}"/>
    <cellStyle name="Normal 5" xfId="21" xr:uid="{89BAADD8-44B9-44BE-BCD2-ED72F3692EA8}"/>
    <cellStyle name="Normal_COALPROD" xfId="8" xr:uid="{00000000-0005-0000-0000-000009000000}"/>
    <cellStyle name="normal_COALPROD_1" xfId="9" xr:uid="{00000000-0005-0000-0000-00000A000000}"/>
    <cellStyle name="Percent" xfId="12" builtinId="5"/>
    <cellStyle name="Percent 2" xfId="17" xr:uid="{317BC152-85CD-43BF-8740-438EC9808A96}"/>
    <cellStyle name="Style 1" xfId="15" xr:uid="{0102FCBF-8F8C-4D83-B6BB-1284FE0C135A}"/>
    <cellStyle name="Total" xfId="10" builtinId="25" customBuiltin="1"/>
  </cellStyles>
  <dxfs count="2">
    <dxf>
      <numFmt numFmtId="4" formatCode="#,##0.0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99CCFF"/>
      <color rgb="FFFFFF99"/>
      <color rgb="FFFFFF66"/>
      <color rgb="FFB0A674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powerPivotData" Target="model/item.data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Bonded Acres - 2006 - Present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Graphs!$B$9</c:f>
              <c:strCache>
                <c:ptCount val="1"/>
                <c:pt idx="0">
                  <c:v>Column2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olid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numRef>
              <c:f>Graphs!$A$10:$A$25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Graphs!$B$10:$B$25</c:f>
              <c:numCache>
                <c:formatCode>#,##0.00</c:formatCode>
                <c:ptCount val="16"/>
                <c:pt idx="0">
                  <c:v>178257.90000000002</c:v>
                </c:pt>
                <c:pt idx="1">
                  <c:v>180655.5</c:v>
                </c:pt>
                <c:pt idx="2">
                  <c:v>179634.2</c:v>
                </c:pt>
                <c:pt idx="3">
                  <c:v>175741.7</c:v>
                </c:pt>
                <c:pt idx="4">
                  <c:v>181335.1</c:v>
                </c:pt>
                <c:pt idx="5">
                  <c:v>184624.90000000002</c:v>
                </c:pt>
                <c:pt idx="6">
                  <c:v>192875.8</c:v>
                </c:pt>
                <c:pt idx="7">
                  <c:v>190495</c:v>
                </c:pt>
                <c:pt idx="8">
                  <c:v>196733.89999999997</c:v>
                </c:pt>
                <c:pt idx="9">
                  <c:v>188636.79999999999</c:v>
                </c:pt>
                <c:pt idx="10">
                  <c:v>189572.9</c:v>
                </c:pt>
                <c:pt idx="11">
                  <c:v>176377.40000000002</c:v>
                </c:pt>
                <c:pt idx="12">
                  <c:v>173446.8</c:v>
                </c:pt>
                <c:pt idx="13">
                  <c:v>173589.9</c:v>
                </c:pt>
                <c:pt idx="14">
                  <c:v>172851.90000000002</c:v>
                </c:pt>
                <c:pt idx="15">
                  <c:v>163686.9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F-4749-8822-B5E19127B1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46667471"/>
        <c:axId val="2046664975"/>
      </c:barChart>
      <c:catAx>
        <c:axId val="2046667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6664975"/>
        <c:crosses val="autoZero"/>
        <c:auto val="1"/>
        <c:lblAlgn val="ctr"/>
        <c:lblOffset val="100"/>
        <c:noMultiLvlLbl val="0"/>
      </c:catAx>
      <c:valAx>
        <c:axId val="2046664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66674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219074</xdr:colOff>
      <xdr:row>2</xdr:row>
      <xdr:rowOff>109536</xdr:rowOff>
    </xdr:from>
    <xdr:to>
      <xdr:col>18</xdr:col>
      <xdr:colOff>247650</xdr:colOff>
      <xdr:row>33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835444-64B0-4C20-8558-32E9EAC09C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rco receipts 2002 - 2009" connectionId="1" xr16:uid="{00000000-0016-0000-0200-000000000000}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3272DA0-2808-457E-B6D9-F41D3C94BC93}" name="Table1" displayName="Table1" ref="A9:B25" totalsRowShown="0">
  <sortState xmlns:xlrd2="http://schemas.microsoft.com/office/spreadsheetml/2017/richdata2" ref="A10:B24">
    <sortCondition ref="A9:A24"/>
  </sortState>
  <tableColumns count="2">
    <tableColumn id="1" xr3:uid="{F9C923F8-E65F-4B89-95D2-4719A5FE3420}" name="Column1" dataDxfId="1"/>
    <tableColumn id="2" xr3:uid="{AC1BACE0-B20F-4C0E-BECA-8C17775D7FA0}" name="Column2" dataDxfId="0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="Bonded Acres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J2974"/>
  <sheetViews>
    <sheetView tabSelected="1" zoomScale="75" zoomScaleNormal="75" workbookViewId="0">
      <pane xSplit="2" ySplit="2" topLeftCell="AL3" activePane="bottomRight" state="frozen"/>
      <selection pane="topRight" activeCell="C1" sqref="C1"/>
      <selection pane="bottomLeft" activeCell="A7" sqref="A7"/>
      <selection pane="bottomRight" sqref="A1:B2"/>
    </sheetView>
  </sheetViews>
  <sheetFormatPr defaultColWidth="9.140625" defaultRowHeight="15"/>
  <cols>
    <col min="1" max="1" width="5.140625" style="1044" customWidth="1"/>
    <col min="2" max="2" width="36.85546875" style="1042" customWidth="1"/>
    <col min="3" max="3" width="18.5703125" style="1042" hidden="1" customWidth="1"/>
    <col min="4" max="4" width="18.140625" style="1042" hidden="1" customWidth="1"/>
    <col min="5" max="5" width="18.5703125" style="1042" hidden="1" customWidth="1"/>
    <col min="6" max="10" width="19.140625" style="1042" hidden="1" customWidth="1"/>
    <col min="11" max="11" width="18.5703125" style="1042" hidden="1" customWidth="1"/>
    <col min="12" max="12" width="19.140625" style="1042" hidden="1" customWidth="1"/>
    <col min="13" max="13" width="18.140625" style="1042" hidden="1" customWidth="1"/>
    <col min="14" max="15" width="18.5703125" style="1042" hidden="1" customWidth="1"/>
    <col min="16" max="20" width="19.140625" style="1042" hidden="1" customWidth="1"/>
    <col min="21" max="21" width="18.5703125" style="1042" hidden="1" customWidth="1"/>
    <col min="22" max="22" width="18.140625" style="1042" hidden="1" customWidth="1"/>
    <col min="23" max="23" width="18.5703125" style="1042" hidden="1" customWidth="1"/>
    <col min="24" max="24" width="18.140625" style="1042" hidden="1" customWidth="1"/>
    <col min="25" max="25" width="19.140625" style="1054" hidden="1" customWidth="1"/>
    <col min="26" max="26" width="20.5703125" style="1055" hidden="1" customWidth="1"/>
    <col min="27" max="27" width="19.140625" style="1056" hidden="1" customWidth="1"/>
    <col min="28" max="28" width="19.85546875" style="1042" hidden="1" customWidth="1"/>
    <col min="29" max="29" width="19.140625" style="1042" hidden="1" customWidth="1"/>
    <col min="30" max="30" width="18.5703125" style="1042" hidden="1" customWidth="1"/>
    <col min="31" max="31" width="19.140625" style="1042" hidden="1" customWidth="1"/>
    <col min="32" max="35" width="20.7109375" style="1042" hidden="1" customWidth="1"/>
    <col min="36" max="36" width="18.28515625" style="1042" hidden="1" customWidth="1"/>
    <col min="37" max="37" width="20.7109375" style="1042" hidden="1" customWidth="1"/>
    <col min="38" max="38" width="19.5703125" style="1042" customWidth="1"/>
    <col min="39" max="39" width="16.7109375" style="1042" customWidth="1"/>
    <col min="40" max="40" width="18" style="1042" customWidth="1"/>
    <col min="41" max="41" width="17.28515625" style="1042" customWidth="1"/>
    <col min="42" max="42" width="16.5703125" style="1042" customWidth="1"/>
    <col min="43" max="43" width="17.140625" style="1042" customWidth="1"/>
    <col min="44" max="44" width="17.28515625" style="1042" customWidth="1"/>
    <col min="45" max="45" width="17.140625" style="1042" customWidth="1"/>
    <col min="46" max="46" width="19" style="1042" customWidth="1"/>
    <col min="47" max="47" width="17.42578125" style="1042" customWidth="1"/>
    <col min="48" max="48" width="18" style="1042" customWidth="1"/>
    <col min="49" max="49" width="16" style="1042" customWidth="1"/>
    <col min="50" max="50" width="19.140625" style="1057" customWidth="1"/>
    <col min="51" max="51" width="5.5703125" style="1042" customWidth="1"/>
    <col min="52" max="52" width="17.5703125" style="1042" customWidth="1"/>
    <col min="53" max="53" width="29.140625" style="1042" customWidth="1"/>
    <col min="54" max="55" width="15.140625" style="1042" customWidth="1"/>
    <col min="56" max="56" width="20.5703125" style="1042" customWidth="1"/>
    <col min="57" max="57" width="16.28515625" style="1053" customWidth="1"/>
    <col min="58" max="58" width="16.28515625" style="1046" customWidth="1"/>
    <col min="59" max="59" width="16.28515625" style="1042" customWidth="1"/>
    <col min="60" max="60" width="9.140625" style="1043"/>
    <col min="61" max="61" width="11.7109375" style="1042" customWidth="1"/>
    <col min="62" max="62" width="10.7109375" style="1042" bestFit="1" customWidth="1"/>
    <col min="63" max="16384" width="9.140625" style="1042"/>
  </cols>
  <sheetData>
    <row r="1" spans="1:62" s="1013" customFormat="1" ht="21" customHeight="1">
      <c r="A1" s="1869" t="s">
        <v>362</v>
      </c>
      <c r="B1" s="1870"/>
      <c r="C1" s="1879">
        <v>1976</v>
      </c>
      <c r="D1" s="1881">
        <v>1977</v>
      </c>
      <c r="E1" s="1881">
        <v>1978</v>
      </c>
      <c r="F1" s="1883">
        <v>1979</v>
      </c>
      <c r="G1" s="1864">
        <v>1980</v>
      </c>
      <c r="H1" s="1864">
        <v>1981</v>
      </c>
      <c r="I1" s="1864">
        <v>1982</v>
      </c>
      <c r="J1" s="1864">
        <v>1983</v>
      </c>
      <c r="K1" s="1864">
        <v>1984</v>
      </c>
      <c r="L1" s="1864">
        <v>1985</v>
      </c>
      <c r="M1" s="1864">
        <v>1986</v>
      </c>
      <c r="N1" s="1864">
        <v>1987</v>
      </c>
      <c r="O1" s="1877">
        <v>1988</v>
      </c>
      <c r="P1" s="1875">
        <v>1989</v>
      </c>
      <c r="Q1" s="1873">
        <v>1990</v>
      </c>
      <c r="R1" s="1873">
        <v>1991</v>
      </c>
      <c r="S1" s="1873">
        <v>1992</v>
      </c>
      <c r="T1" s="1859">
        <v>1993</v>
      </c>
      <c r="U1" s="1859">
        <v>1994</v>
      </c>
      <c r="V1" s="1859">
        <v>1995</v>
      </c>
      <c r="W1" s="1859">
        <v>1996</v>
      </c>
      <c r="X1" s="1859">
        <v>1997</v>
      </c>
      <c r="Y1" s="1859">
        <v>1998</v>
      </c>
      <c r="Z1" s="1855">
        <v>1999</v>
      </c>
      <c r="AA1" s="1855">
        <v>2000</v>
      </c>
      <c r="AB1" s="1855">
        <v>2001</v>
      </c>
      <c r="AC1" s="1855">
        <v>2002</v>
      </c>
      <c r="AD1" s="1855">
        <v>2003</v>
      </c>
      <c r="AE1" s="1859">
        <v>2004</v>
      </c>
      <c r="AF1" s="1861">
        <v>2005</v>
      </c>
      <c r="AG1" s="1846">
        <v>2006</v>
      </c>
      <c r="AH1" s="1846">
        <v>2007</v>
      </c>
      <c r="AI1" s="1846">
        <v>2008</v>
      </c>
      <c r="AJ1" s="1846">
        <v>2009</v>
      </c>
      <c r="AK1" s="1846">
        <v>2010</v>
      </c>
      <c r="AL1" s="1846" t="s">
        <v>547</v>
      </c>
      <c r="AM1" s="1846">
        <v>2011</v>
      </c>
      <c r="AN1" s="1846">
        <v>2012</v>
      </c>
      <c r="AO1" s="1846">
        <v>2013</v>
      </c>
      <c r="AP1" s="1846">
        <v>2014</v>
      </c>
      <c r="AQ1" s="1846">
        <v>2015</v>
      </c>
      <c r="AR1" s="1848">
        <v>2016</v>
      </c>
      <c r="AS1" s="1846">
        <v>2017</v>
      </c>
      <c r="AT1" s="1846">
        <v>2018</v>
      </c>
      <c r="AU1" s="1846">
        <v>2019</v>
      </c>
      <c r="AV1" s="1846">
        <v>2020</v>
      </c>
      <c r="AW1" s="1846">
        <v>2021</v>
      </c>
      <c r="AX1" s="1844" t="s">
        <v>415</v>
      </c>
      <c r="AY1" s="1298"/>
      <c r="AZ1" s="1014"/>
      <c r="BA1" s="1014"/>
      <c r="BB1" s="1014"/>
      <c r="BC1" s="1014"/>
      <c r="BD1" s="1014"/>
      <c r="BE1" s="1015"/>
      <c r="BF1" s="1016"/>
      <c r="BG1" s="1017"/>
      <c r="BH1" s="1018"/>
    </row>
    <row r="2" spans="1:62" s="1013" customFormat="1" ht="30.75" customHeight="1" thickBot="1">
      <c r="A2" s="1871"/>
      <c r="B2" s="1872"/>
      <c r="C2" s="1880"/>
      <c r="D2" s="1882"/>
      <c r="E2" s="1882"/>
      <c r="F2" s="1884"/>
      <c r="G2" s="1865"/>
      <c r="H2" s="1865"/>
      <c r="I2" s="1865"/>
      <c r="J2" s="1865"/>
      <c r="K2" s="1865"/>
      <c r="L2" s="1865"/>
      <c r="M2" s="1865"/>
      <c r="N2" s="1865"/>
      <c r="O2" s="1878"/>
      <c r="P2" s="1876"/>
      <c r="Q2" s="1874"/>
      <c r="R2" s="1874"/>
      <c r="S2" s="1874"/>
      <c r="T2" s="1860"/>
      <c r="U2" s="1860"/>
      <c r="V2" s="1860"/>
      <c r="W2" s="1860"/>
      <c r="X2" s="1860"/>
      <c r="Y2" s="1860"/>
      <c r="Z2" s="1856"/>
      <c r="AA2" s="1856"/>
      <c r="AB2" s="1856"/>
      <c r="AC2" s="1856"/>
      <c r="AD2" s="1863"/>
      <c r="AE2" s="1860"/>
      <c r="AF2" s="1862"/>
      <c r="AG2" s="1847"/>
      <c r="AH2" s="1847"/>
      <c r="AI2" s="1847"/>
      <c r="AJ2" s="1847"/>
      <c r="AK2" s="1847"/>
      <c r="AL2" s="1850"/>
      <c r="AM2" s="1847"/>
      <c r="AN2" s="1847"/>
      <c r="AO2" s="1866"/>
      <c r="AP2" s="1866"/>
      <c r="AQ2" s="1866"/>
      <c r="AR2" s="1849"/>
      <c r="AS2" s="1850"/>
      <c r="AT2" s="1850"/>
      <c r="AU2" s="1850"/>
      <c r="AV2" s="1850"/>
      <c r="AW2" s="1850"/>
      <c r="AX2" s="1845"/>
      <c r="AY2" s="1857"/>
      <c r="AZ2" s="1858"/>
      <c r="BA2" s="1858"/>
      <c r="BB2" s="1858"/>
      <c r="BC2" s="1858"/>
      <c r="BD2" s="1858"/>
      <c r="BE2" s="1019"/>
      <c r="BF2" s="1020"/>
      <c r="BG2" s="1021"/>
      <c r="BH2" s="1022"/>
    </row>
    <row r="3" spans="1:62" s="1013" customFormat="1" ht="21" hidden="1" customHeight="1">
      <c r="A3" s="1112" t="s">
        <v>110</v>
      </c>
      <c r="B3" s="1320"/>
      <c r="C3" s="1113"/>
      <c r="D3" s="1114"/>
      <c r="E3" s="1115"/>
      <c r="F3" s="1114"/>
      <c r="G3" s="1116"/>
      <c r="H3" s="1116"/>
      <c r="I3" s="1116"/>
      <c r="J3" s="1116"/>
      <c r="K3" s="1116"/>
      <c r="L3" s="1116"/>
      <c r="M3" s="1116"/>
      <c r="N3" s="1116"/>
      <c r="O3" s="1116"/>
      <c r="P3" s="1116"/>
      <c r="Q3" s="1117"/>
      <c r="R3" s="1117"/>
      <c r="S3" s="1117"/>
      <c r="T3" s="1117"/>
      <c r="U3" s="1117"/>
      <c r="V3" s="1117"/>
      <c r="W3" s="1117"/>
      <c r="X3" s="1117"/>
      <c r="Y3" s="1117"/>
      <c r="Z3" s="1118"/>
      <c r="AA3" s="1118"/>
      <c r="AB3" s="1118"/>
      <c r="AC3" s="1118"/>
      <c r="AD3" s="1118"/>
      <c r="AE3" s="1119"/>
      <c r="AF3" s="1119"/>
      <c r="AG3" s="1338"/>
      <c r="AH3" s="1338"/>
      <c r="AI3" s="1438"/>
      <c r="AJ3" s="1438"/>
      <c r="AK3" s="1329"/>
      <c r="AL3" s="1438"/>
      <c r="AM3" s="1135"/>
      <c r="AN3" s="1329"/>
      <c r="AO3" s="1329"/>
      <c r="AP3" s="1834"/>
      <c r="AQ3" s="1329"/>
      <c r="AR3" s="1342"/>
      <c r="AS3" s="1329"/>
      <c r="AT3" s="1342"/>
      <c r="AU3" s="1342"/>
      <c r="AV3" s="1342"/>
      <c r="AW3" s="1342"/>
      <c r="AX3" s="1350"/>
      <c r="AY3" s="1031"/>
      <c r="AZ3" s="1604"/>
      <c r="BA3" s="1839"/>
      <c r="BB3" s="1023"/>
      <c r="BC3" s="1023"/>
      <c r="BD3" s="1023"/>
      <c r="BE3" s="1024"/>
      <c r="BF3" s="1020"/>
      <c r="BG3" s="1025"/>
      <c r="BH3" s="1022"/>
    </row>
    <row r="4" spans="1:62" s="1013" customFormat="1" ht="21" hidden="1" customHeight="1">
      <c r="A4" s="1120"/>
      <c r="B4" s="1321" t="s">
        <v>413</v>
      </c>
      <c r="C4" s="1121">
        <v>2065100</v>
      </c>
      <c r="D4" s="1122">
        <v>1979691</v>
      </c>
      <c r="E4" s="1123">
        <v>2008198</v>
      </c>
      <c r="F4" s="1122">
        <v>1813739</v>
      </c>
      <c r="G4" s="1124">
        <v>2137776</v>
      </c>
      <c r="H4" s="1124">
        <v>3414742</v>
      </c>
      <c r="I4" s="1124">
        <v>4273812</v>
      </c>
      <c r="J4" s="1124">
        <v>4786000</v>
      </c>
      <c r="K4" s="1124">
        <v>5125628</v>
      </c>
      <c r="L4" s="1124">
        <v>6227660</v>
      </c>
      <c r="M4" s="1124">
        <v>5639903</v>
      </c>
      <c r="N4" s="1124">
        <v>5556146</v>
      </c>
      <c r="O4" s="1124">
        <v>5598183</v>
      </c>
      <c r="P4" s="1124">
        <v>5828816</v>
      </c>
      <c r="Q4" s="1125">
        <v>6469352</v>
      </c>
      <c r="R4" s="1125">
        <v>5673616</v>
      </c>
      <c r="S4" s="1125">
        <v>5719038</v>
      </c>
      <c r="T4" s="1125">
        <v>6904473</v>
      </c>
      <c r="U4" s="1125">
        <v>6029900</v>
      </c>
      <c r="V4" s="1125">
        <v>5674739</v>
      </c>
      <c r="W4" s="1125">
        <v>5727821</v>
      </c>
      <c r="X4" s="1125">
        <v>6370027</v>
      </c>
      <c r="Y4" s="1125">
        <v>5911518</v>
      </c>
      <c r="Z4" s="1125">
        <v>6352733</v>
      </c>
      <c r="AA4" s="1125">
        <v>6411726</v>
      </c>
      <c r="AB4" s="1125">
        <v>5767474</v>
      </c>
      <c r="AC4" s="1125">
        <v>5669398</v>
      </c>
      <c r="AD4" s="1125">
        <f>'SUM2003'!C4</f>
        <v>6221745</v>
      </c>
      <c r="AE4" s="1126">
        <f>'SUM2004'!C4</f>
        <v>6294003</v>
      </c>
      <c r="AF4" s="1126">
        <f>'SUM2005'!C4</f>
        <v>3314025</v>
      </c>
      <c r="AG4" s="1328">
        <f>'SUM2006'!$C4</f>
        <v>0</v>
      </c>
      <c r="AH4" s="1328">
        <f>'SUM2007'!$D4</f>
        <v>0</v>
      </c>
      <c r="AI4" s="1439"/>
      <c r="AJ4" s="1439"/>
      <c r="AK4" s="1330"/>
      <c r="AL4" s="1443">
        <f>SUM(C4:AK4)</f>
        <v>150966982</v>
      </c>
      <c r="AM4" s="1330"/>
      <c r="AN4" s="1330"/>
      <c r="AO4" s="1330"/>
      <c r="AP4" s="1838"/>
      <c r="AQ4" s="1330"/>
      <c r="AR4" s="1343"/>
      <c r="AS4" s="1330"/>
      <c r="AT4" s="1362"/>
      <c r="AU4" s="1853" t="s">
        <v>163</v>
      </c>
      <c r="AV4" s="1854"/>
      <c r="AW4" s="1362"/>
      <c r="AX4" s="1351">
        <f>SUM(C4:AF4)</f>
        <v>150966982</v>
      </c>
      <c r="AY4" s="1031"/>
      <c r="AZ4" s="1839"/>
      <c r="BA4" s="1839"/>
      <c r="BB4" s="1023"/>
      <c r="BC4" s="1023"/>
      <c r="BD4" s="1023"/>
      <c r="BE4" s="1024"/>
      <c r="BF4" s="1020"/>
      <c r="BG4" s="1026"/>
      <c r="BH4" s="1022"/>
    </row>
    <row r="5" spans="1:62" s="1013" customFormat="1" ht="21" hidden="1" customHeight="1">
      <c r="A5" s="1127" t="s">
        <v>65</v>
      </c>
      <c r="B5" s="1322"/>
      <c r="C5" s="1128"/>
      <c r="D5" s="1129"/>
      <c r="E5" s="1130"/>
      <c r="F5" s="1129"/>
      <c r="G5" s="1131"/>
      <c r="H5" s="1131"/>
      <c r="I5" s="1131"/>
      <c r="J5" s="1131"/>
      <c r="K5" s="1131"/>
      <c r="L5" s="1131"/>
      <c r="M5" s="1131"/>
      <c r="N5" s="1131"/>
      <c r="O5" s="1132"/>
      <c r="P5" s="1133"/>
      <c r="Q5" s="1134"/>
      <c r="R5" s="1135"/>
      <c r="S5" s="1135"/>
      <c r="T5" s="1135"/>
      <c r="U5" s="1135"/>
      <c r="V5" s="1136"/>
      <c r="W5" s="1136"/>
      <c r="X5" s="1136"/>
      <c r="Y5" s="1136"/>
      <c r="Z5" s="1136"/>
      <c r="AA5" s="1136"/>
      <c r="AB5" s="1136"/>
      <c r="AC5" s="1137"/>
      <c r="AD5" s="1137"/>
      <c r="AE5" s="1138"/>
      <c r="AF5" s="1138"/>
      <c r="AG5" s="1329"/>
      <c r="AH5" s="1329"/>
      <c r="AI5" s="1437"/>
      <c r="AJ5" s="1437"/>
      <c r="AK5" s="1329"/>
      <c r="AL5" s="1437"/>
      <c r="AM5" s="1135"/>
      <c r="AN5" s="1329"/>
      <c r="AO5" s="1329"/>
      <c r="AP5" s="1837"/>
      <c r="AQ5" s="1329"/>
      <c r="AR5" s="1342"/>
      <c r="AS5" s="1329"/>
      <c r="AT5" s="1342"/>
      <c r="AU5" s="1342"/>
      <c r="AV5" s="1342"/>
      <c r="AW5" s="1342"/>
      <c r="AX5" s="1350"/>
      <c r="AZ5" s="1023"/>
      <c r="BA5" s="1023"/>
      <c r="BB5" s="1023"/>
      <c r="BC5" s="1023"/>
      <c r="BD5" s="1023"/>
      <c r="BE5" s="1024"/>
      <c r="BF5" s="1020"/>
      <c r="BG5" s="1026"/>
      <c r="BH5" s="1022"/>
    </row>
    <row r="6" spans="1:62" s="1013" customFormat="1" ht="21" hidden="1" customHeight="1">
      <c r="A6" s="1139"/>
      <c r="B6" s="1323" t="s">
        <v>363</v>
      </c>
      <c r="C6" s="1140">
        <v>0</v>
      </c>
      <c r="D6" s="1141">
        <v>0</v>
      </c>
      <c r="E6" s="1142">
        <v>0</v>
      </c>
      <c r="F6" s="1141">
        <v>46</v>
      </c>
      <c r="G6" s="1143">
        <v>35000</v>
      </c>
      <c r="H6" s="1143">
        <v>76119</v>
      </c>
      <c r="I6" s="1143">
        <v>115000</v>
      </c>
      <c r="J6" s="1143">
        <v>40596</v>
      </c>
      <c r="K6" s="1143">
        <v>24483</v>
      </c>
      <c r="L6" s="1143">
        <v>63035</v>
      </c>
      <c r="M6" s="1143">
        <v>54790</v>
      </c>
      <c r="N6" s="1143">
        <v>19863</v>
      </c>
      <c r="O6" s="1144"/>
      <c r="P6" s="1145"/>
      <c r="Q6" s="1146"/>
      <c r="R6" s="1146"/>
      <c r="S6" s="1146"/>
      <c r="T6" s="1146"/>
      <c r="U6" s="1146"/>
      <c r="V6" s="1146"/>
      <c r="W6" s="1146"/>
      <c r="X6" s="1146"/>
      <c r="Y6" s="1146"/>
      <c r="Z6" s="1146"/>
      <c r="AA6" s="1146"/>
      <c r="AB6" s="1146"/>
      <c r="AC6" s="1146"/>
      <c r="AD6" s="1146"/>
      <c r="AE6" s="1146"/>
      <c r="AF6" s="1146"/>
      <c r="AG6" s="1330"/>
      <c r="AH6" s="1330"/>
      <c r="AI6" s="1330"/>
      <c r="AJ6" s="1330"/>
      <c r="AK6" s="1330"/>
      <c r="AL6" s="1330">
        <f>SUM(C6:AK6)</f>
        <v>428932</v>
      </c>
      <c r="AM6" s="1330"/>
      <c r="AN6" s="1330"/>
      <c r="AO6" s="1330"/>
      <c r="AP6" s="1835"/>
      <c r="AQ6" s="1330"/>
      <c r="AR6" s="1343"/>
      <c r="AS6" s="1330"/>
      <c r="AT6" s="1343"/>
      <c r="AU6" s="1853" t="s">
        <v>163</v>
      </c>
      <c r="AV6" s="1854"/>
      <c r="AW6" s="1343"/>
      <c r="AX6" s="1831">
        <f>SUM(F6:N6)</f>
        <v>428932</v>
      </c>
      <c r="AY6" s="1313"/>
      <c r="AZ6" s="1023"/>
      <c r="BA6" s="1023"/>
      <c r="BB6" s="1023"/>
      <c r="BC6" s="1023"/>
      <c r="BD6" s="1023"/>
      <c r="BE6" s="1024"/>
      <c r="BF6" s="1020"/>
      <c r="BG6" s="1026"/>
      <c r="BH6" s="1022"/>
    </row>
    <row r="7" spans="1:62" s="1013" customFormat="1" ht="21" customHeight="1">
      <c r="A7" s="1127" t="s">
        <v>246</v>
      </c>
      <c r="B7" s="1322"/>
      <c r="C7" s="1128"/>
      <c r="D7" s="1129"/>
      <c r="E7" s="1130"/>
      <c r="F7" s="1129"/>
      <c r="G7" s="1131"/>
      <c r="H7" s="1131"/>
      <c r="I7" s="1131"/>
      <c r="J7" s="1131"/>
      <c r="K7" s="1131"/>
      <c r="L7" s="1131"/>
      <c r="M7" s="1131"/>
      <c r="N7" s="1131"/>
      <c r="O7" s="1131"/>
      <c r="P7" s="1131"/>
      <c r="Q7" s="1147"/>
      <c r="R7" s="1147"/>
      <c r="S7" s="1147"/>
      <c r="T7" s="1147"/>
      <c r="U7" s="1147"/>
      <c r="V7" s="1147"/>
      <c r="W7" s="1147"/>
      <c r="X7" s="1147"/>
      <c r="Y7" s="1147"/>
      <c r="Z7" s="1148"/>
      <c r="AA7" s="1147"/>
      <c r="AB7" s="1147"/>
      <c r="AC7" s="1147"/>
      <c r="AD7" s="1147"/>
      <c r="AE7" s="1147"/>
      <c r="AF7" s="1129"/>
      <c r="AG7" s="1328"/>
      <c r="AH7" s="1328"/>
      <c r="AI7" s="1333"/>
      <c r="AJ7" s="1333"/>
      <c r="AK7" s="1333"/>
      <c r="AL7" s="1328"/>
      <c r="AM7" s="1328"/>
      <c r="AN7" s="1328"/>
      <c r="AO7" s="1328"/>
      <c r="AP7" s="1328"/>
      <c r="AQ7" s="1328"/>
      <c r="AR7" s="1365"/>
      <c r="AS7" s="1365"/>
      <c r="AT7" s="1454"/>
      <c r="AU7" s="1450"/>
      <c r="AV7" s="1450"/>
      <c r="AW7" s="1448"/>
      <c r="AX7" s="1349"/>
      <c r="AY7" s="1031"/>
      <c r="AZ7" s="1023"/>
      <c r="BA7" s="1023"/>
      <c r="BB7" s="1023"/>
      <c r="BC7" s="1023"/>
      <c r="BD7" s="1023"/>
      <c r="BE7" s="1024"/>
      <c r="BF7" s="1020"/>
      <c r="BG7" s="1026"/>
      <c r="BH7" s="1022"/>
    </row>
    <row r="8" spans="1:62" s="1013" customFormat="1" ht="21" customHeight="1">
      <c r="A8" s="1139"/>
      <c r="B8" s="1323" t="s">
        <v>364</v>
      </c>
      <c r="C8" s="1140"/>
      <c r="D8" s="1141"/>
      <c r="E8" s="1142"/>
      <c r="F8" s="1141"/>
      <c r="G8" s="1143"/>
      <c r="H8" s="1143"/>
      <c r="I8" s="1143"/>
      <c r="J8" s="1143"/>
      <c r="K8" s="1143"/>
      <c r="L8" s="1143"/>
      <c r="M8" s="1143"/>
      <c r="N8" s="1143"/>
      <c r="O8" s="1143"/>
      <c r="P8" s="1143"/>
      <c r="Q8" s="1149" t="s">
        <v>176</v>
      </c>
      <c r="R8" s="1149" t="s">
        <v>176</v>
      </c>
      <c r="S8" s="1149" t="s">
        <v>176</v>
      </c>
      <c r="T8" s="1149" t="s">
        <v>176</v>
      </c>
      <c r="U8" s="1149" t="s">
        <v>176</v>
      </c>
      <c r="V8" s="1149" t="s">
        <v>176</v>
      </c>
      <c r="W8" s="1149" t="s">
        <v>176</v>
      </c>
      <c r="X8" s="1149" t="s">
        <v>176</v>
      </c>
      <c r="Y8" s="1149" t="s">
        <v>176</v>
      </c>
      <c r="Z8" s="1150" t="s">
        <v>176</v>
      </c>
      <c r="AA8" s="1150" t="s">
        <v>176</v>
      </c>
      <c r="AB8" s="1150" t="s">
        <v>176</v>
      </c>
      <c r="AC8" s="1150" t="s">
        <v>176</v>
      </c>
      <c r="AD8" s="1150" t="s">
        <v>176</v>
      </c>
      <c r="AE8" s="1150" t="s">
        <v>176</v>
      </c>
      <c r="AF8" s="1150" t="s">
        <v>176</v>
      </c>
      <c r="AG8" s="1150" t="s">
        <v>176</v>
      </c>
      <c r="AH8" s="1150" t="s">
        <v>176</v>
      </c>
      <c r="AI8" s="1150" t="s">
        <v>176</v>
      </c>
      <c r="AJ8" s="1334" t="s">
        <v>176</v>
      </c>
      <c r="AK8" s="1334" t="s">
        <v>176</v>
      </c>
      <c r="AL8" s="1334" t="s">
        <v>176</v>
      </c>
      <c r="AM8" s="1334" t="s">
        <v>176</v>
      </c>
      <c r="AN8" s="1334" t="s">
        <v>176</v>
      </c>
      <c r="AO8" s="1334" t="s">
        <v>176</v>
      </c>
      <c r="AP8" s="1331">
        <f>'SUM2014'!D6</f>
        <v>3000</v>
      </c>
      <c r="AQ8" s="1331">
        <f>'SUM 2015'!D6</f>
        <v>652086</v>
      </c>
      <c r="AR8" s="1366">
        <f>'SUM 2016'!D6</f>
        <v>1788007</v>
      </c>
      <c r="AS8" s="1366">
        <f>'SUM 2017'!D6</f>
        <v>2437496</v>
      </c>
      <c r="AT8" s="1450">
        <f>'SUM 2018'!D6</f>
        <v>2146219</v>
      </c>
      <c r="AU8" s="1450">
        <f>'SUM 2019'!D6</f>
        <v>1638483</v>
      </c>
      <c r="AV8" s="1450">
        <f>'SUM 2020'!D6</f>
        <v>250766</v>
      </c>
      <c r="AW8" s="1448">
        <f>'SUM 2021'!D6</f>
        <v>0</v>
      </c>
      <c r="AX8" s="1349">
        <f>SUM(AP8:AW8)</f>
        <v>8916057</v>
      </c>
      <c r="AY8" s="1031"/>
      <c r="AZ8" s="1023"/>
      <c r="BA8" s="1023"/>
      <c r="BB8" s="1023"/>
      <c r="BC8" s="1023"/>
      <c r="BD8" s="1023"/>
      <c r="BE8" s="1024"/>
      <c r="BF8" s="1020"/>
      <c r="BG8" s="1026"/>
      <c r="BH8" s="1022"/>
    </row>
    <row r="9" spans="1:62" s="1013" customFormat="1" ht="21" customHeight="1">
      <c r="A9" s="1127" t="s">
        <v>147</v>
      </c>
      <c r="B9" s="1322"/>
      <c r="C9" s="1128"/>
      <c r="D9" s="1129"/>
      <c r="E9" s="1130"/>
      <c r="F9" s="1129"/>
      <c r="G9" s="1131"/>
      <c r="H9" s="1131"/>
      <c r="I9" s="1131"/>
      <c r="J9" s="1131"/>
      <c r="K9" s="1131"/>
      <c r="L9" s="1131"/>
      <c r="M9" s="1131"/>
      <c r="N9" s="1131"/>
      <c r="O9" s="1131"/>
      <c r="P9" s="1131"/>
      <c r="Q9" s="1147"/>
      <c r="R9" s="1147"/>
      <c r="S9" s="1147"/>
      <c r="T9" s="1147"/>
      <c r="U9" s="1147"/>
      <c r="V9" s="1147"/>
      <c r="W9" s="1147"/>
      <c r="X9" s="1147"/>
      <c r="Y9" s="1147"/>
      <c r="Z9" s="1148"/>
      <c r="AA9" s="1147"/>
      <c r="AB9" s="1147"/>
      <c r="AC9" s="1147"/>
      <c r="AD9" s="1147"/>
      <c r="AE9" s="1147"/>
      <c r="AF9" s="1129"/>
      <c r="AG9" s="1333"/>
      <c r="AH9" s="1333"/>
      <c r="AI9" s="1333"/>
      <c r="AJ9" s="1333"/>
      <c r="AK9" s="1333"/>
      <c r="AL9" s="1333"/>
      <c r="AM9" s="1333"/>
      <c r="AN9" s="1333"/>
      <c r="AO9" s="1333"/>
      <c r="AP9" s="1333"/>
      <c r="AQ9" s="1333"/>
      <c r="AR9" s="1367"/>
      <c r="AS9" s="1367"/>
      <c r="AT9" s="1451"/>
      <c r="AU9" s="1451"/>
      <c r="AV9" s="1451"/>
      <c r="AW9" s="1422"/>
      <c r="AX9" s="1352"/>
      <c r="AY9" s="1031"/>
      <c r="AZ9" s="1023"/>
      <c r="BA9" s="1023"/>
      <c r="BB9" s="1023"/>
      <c r="BC9" s="1023"/>
      <c r="BD9" s="1023"/>
      <c r="BE9" s="1024"/>
      <c r="BF9" s="1020"/>
      <c r="BG9" s="1026"/>
      <c r="BH9" s="1022"/>
      <c r="BI9" s="1025"/>
    </row>
    <row r="10" spans="1:62" s="1013" customFormat="1" ht="21" hidden="1" customHeight="1">
      <c r="A10" s="1120"/>
      <c r="B10" s="1321" t="s">
        <v>365</v>
      </c>
      <c r="C10" s="1121">
        <v>0</v>
      </c>
      <c r="D10" s="1122">
        <v>0</v>
      </c>
      <c r="E10" s="1123">
        <v>0</v>
      </c>
      <c r="F10" s="1122">
        <v>76677</v>
      </c>
      <c r="G10" s="1124">
        <v>159604</v>
      </c>
      <c r="H10" s="1124">
        <v>276633</v>
      </c>
      <c r="I10" s="1124">
        <v>211111</v>
      </c>
      <c r="J10" s="1124">
        <v>251406</v>
      </c>
      <c r="K10" s="1124">
        <v>291375</v>
      </c>
      <c r="L10" s="1124">
        <v>289966</v>
      </c>
      <c r="M10" s="1124">
        <v>238220</v>
      </c>
      <c r="N10" s="1124">
        <v>266833</v>
      </c>
      <c r="O10" s="1124">
        <v>263467</v>
      </c>
      <c r="P10" s="1124">
        <v>227024</v>
      </c>
      <c r="Q10" s="1125">
        <v>337621</v>
      </c>
      <c r="R10" s="1125">
        <v>238704</v>
      </c>
      <c r="S10" s="1125">
        <v>324325</v>
      </c>
      <c r="T10" s="1125">
        <v>354034</v>
      </c>
      <c r="U10" s="1125">
        <v>253187</v>
      </c>
      <c r="V10" s="1125">
        <v>298110</v>
      </c>
      <c r="W10" s="1125">
        <v>357810</v>
      </c>
      <c r="X10" s="1125">
        <v>208003.87</v>
      </c>
      <c r="Y10" s="1125">
        <v>137528.38</v>
      </c>
      <c r="Z10" s="1126">
        <v>62917.15</v>
      </c>
      <c r="AA10" s="1125">
        <v>21279.09</v>
      </c>
      <c r="AB10" s="1125">
        <v>192440.33</v>
      </c>
      <c r="AC10" s="1125">
        <v>17242.91</v>
      </c>
      <c r="AD10" s="1125">
        <f>'SUM2003'!C10</f>
        <v>0</v>
      </c>
      <c r="AE10" s="1125">
        <f>'SUM2004'!C10</f>
        <v>0</v>
      </c>
      <c r="AF10" s="1122">
        <f>'SUM2005'!C10</f>
        <v>0</v>
      </c>
      <c r="AG10" s="1328">
        <f>'SUM2006'!$C10</f>
        <v>0</v>
      </c>
      <c r="AH10" s="1328">
        <f>'SUM2007'!$D10</f>
        <v>0</v>
      </c>
      <c r="AI10" s="1328">
        <f>'SUM2008'!D10</f>
        <v>0</v>
      </c>
      <c r="AJ10" s="1328">
        <f>'SUM2009'!D10</f>
        <v>0</v>
      </c>
      <c r="AK10" s="1328">
        <f>'SUM2010'!D8</f>
        <v>0</v>
      </c>
      <c r="AL10" s="1328">
        <f>SUM(C10:AK10)</f>
        <v>5355518.7300000004</v>
      </c>
      <c r="AM10" s="1328">
        <f>'SUM2011'!D8</f>
        <v>0</v>
      </c>
      <c r="AN10" s="1328">
        <f>'SUM2012'!D8</f>
        <v>0</v>
      </c>
      <c r="AO10" s="1328">
        <f>'SUM2013'!D8</f>
        <v>0</v>
      </c>
      <c r="AP10" s="1328">
        <f>'SUM2014'!D8</f>
        <v>0</v>
      </c>
      <c r="AQ10" s="1328">
        <f>'SUM 2015'!D8</f>
        <v>0</v>
      </c>
      <c r="AR10" s="1365">
        <f>'SUM 2016'!D8</f>
        <v>0</v>
      </c>
      <c r="AS10" s="1365">
        <f>'SUM 2017'!D8</f>
        <v>0</v>
      </c>
      <c r="AT10" s="1450">
        <f>'SUM 2018'!D8</f>
        <v>0</v>
      </c>
      <c r="AU10" s="1851" t="s">
        <v>163</v>
      </c>
      <c r="AV10" s="1852"/>
      <c r="AW10" s="1832"/>
      <c r="AX10" s="1831">
        <f>SUM(F10:AC10)</f>
        <v>5355518.7300000004</v>
      </c>
      <c r="AY10" s="1031"/>
      <c r="AZ10" s="1023"/>
      <c r="BA10" s="1023"/>
      <c r="BB10" s="1023"/>
      <c r="BC10" s="1023"/>
      <c r="BD10" s="1023"/>
      <c r="BE10" s="1024"/>
      <c r="BF10" s="1020"/>
      <c r="BG10" s="1026"/>
      <c r="BH10" s="1022"/>
      <c r="BJ10" s="1022"/>
    </row>
    <row r="11" spans="1:62" s="1013" customFormat="1" ht="21" customHeight="1">
      <c r="A11" s="1120"/>
      <c r="B11" s="1321" t="s">
        <v>366</v>
      </c>
      <c r="C11" s="1121">
        <v>0</v>
      </c>
      <c r="D11" s="1122">
        <v>0</v>
      </c>
      <c r="E11" s="1123">
        <v>0</v>
      </c>
      <c r="F11" s="1122">
        <v>0</v>
      </c>
      <c r="G11" s="1124">
        <v>0</v>
      </c>
      <c r="H11" s="1124">
        <v>0</v>
      </c>
      <c r="I11" s="1124">
        <v>0</v>
      </c>
      <c r="J11" s="1124">
        <v>26976</v>
      </c>
      <c r="K11" s="1124">
        <v>86537</v>
      </c>
      <c r="L11" s="1124">
        <v>49091</v>
      </c>
      <c r="M11" s="1124">
        <v>73106</v>
      </c>
      <c r="N11" s="1124">
        <v>30540</v>
      </c>
      <c r="O11" s="1124">
        <v>39993</v>
      </c>
      <c r="P11" s="1124">
        <v>46634</v>
      </c>
      <c r="Q11" s="1125">
        <v>86883</v>
      </c>
      <c r="R11" s="1125">
        <v>92934</v>
      </c>
      <c r="S11" s="1125">
        <v>156246</v>
      </c>
      <c r="T11" s="1125">
        <v>62709</v>
      </c>
      <c r="U11" s="1125">
        <v>83767</v>
      </c>
      <c r="V11" s="1125">
        <v>14222</v>
      </c>
      <c r="W11" s="1125">
        <v>0</v>
      </c>
      <c r="X11" s="1125">
        <v>0</v>
      </c>
      <c r="Y11" s="1125">
        <v>0</v>
      </c>
      <c r="Z11" s="1126">
        <v>0</v>
      </c>
      <c r="AA11" s="1125">
        <v>2050.83</v>
      </c>
      <c r="AB11" s="1125">
        <v>15989.26</v>
      </c>
      <c r="AC11" s="1125">
        <v>13263.93</v>
      </c>
      <c r="AD11" s="1125">
        <f>'SUM2003'!C11</f>
        <v>27260</v>
      </c>
      <c r="AE11" s="1125">
        <f>'SUM2004'!C11</f>
        <v>55625</v>
      </c>
      <c r="AF11" s="1122">
        <f>'SUM2005'!C11</f>
        <v>0</v>
      </c>
      <c r="AG11" s="1328">
        <f>'SUM2006'!$C11</f>
        <v>0</v>
      </c>
      <c r="AH11" s="1328">
        <f>'SUM2007'!$D11</f>
        <v>0</v>
      </c>
      <c r="AI11" s="1328">
        <f>'SUM2008'!D11</f>
        <v>0</v>
      </c>
      <c r="AJ11" s="1328">
        <f>'SUM2009'!D11</f>
        <v>0</v>
      </c>
      <c r="AK11" s="1328">
        <f>'SUM2010'!D9</f>
        <v>0</v>
      </c>
      <c r="AL11" s="1328">
        <f>SUM(J11:AE11)</f>
        <v>963827.02</v>
      </c>
      <c r="AM11" s="1328">
        <f>'SUM2011'!D9</f>
        <v>0</v>
      </c>
      <c r="AN11" s="1328">
        <f>'SUM2012'!D9</f>
        <v>0</v>
      </c>
      <c r="AO11" s="1328">
        <f>'SUM2013'!D9</f>
        <v>0</v>
      </c>
      <c r="AP11" s="1328">
        <f>'SUM2014'!D9</f>
        <v>0</v>
      </c>
      <c r="AQ11" s="1328">
        <f>'SUM 2015'!D9</f>
        <v>0</v>
      </c>
      <c r="AR11" s="1365">
        <f>'SUM 2016'!D9</f>
        <v>0</v>
      </c>
      <c r="AS11" s="1365">
        <f>'SUM 2017'!D9</f>
        <v>0</v>
      </c>
      <c r="AT11" s="1450">
        <f>'SUM 2018'!D9</f>
        <v>0</v>
      </c>
      <c r="AU11" s="1450">
        <f>'SUM 2019'!D9</f>
        <v>0</v>
      </c>
      <c r="AV11" s="1450">
        <f>'SUM 2020'!D9</f>
        <v>0</v>
      </c>
      <c r="AW11" s="1421">
        <f>'SUM 2021'!D9</f>
        <v>0</v>
      </c>
      <c r="AX11" s="1349">
        <f>SUM(AL11:AW11)</f>
        <v>963827.02</v>
      </c>
      <c r="AY11" s="1031"/>
      <c r="AZ11" s="1023"/>
      <c r="BA11" s="1023"/>
      <c r="BB11" s="1023"/>
      <c r="BC11" s="1023"/>
      <c r="BD11" s="1023"/>
      <c r="BE11" s="1024"/>
      <c r="BF11" s="1020"/>
      <c r="BG11" s="1026"/>
      <c r="BH11" s="1022"/>
    </row>
    <row r="12" spans="1:62" s="1013" customFormat="1" ht="21" hidden="1" customHeight="1">
      <c r="A12" s="1139"/>
      <c r="B12" s="1323" t="s">
        <v>367</v>
      </c>
      <c r="C12" s="1140">
        <v>0</v>
      </c>
      <c r="D12" s="1141">
        <v>0</v>
      </c>
      <c r="E12" s="1142">
        <v>0</v>
      </c>
      <c r="F12" s="1141">
        <v>0</v>
      </c>
      <c r="G12" s="1143">
        <v>0</v>
      </c>
      <c r="H12" s="1143">
        <v>0</v>
      </c>
      <c r="I12" s="1143">
        <v>0</v>
      </c>
      <c r="J12" s="1143">
        <v>0</v>
      </c>
      <c r="K12" s="1143">
        <v>0</v>
      </c>
      <c r="L12" s="1143">
        <v>0</v>
      </c>
      <c r="M12" s="1143">
        <v>0</v>
      </c>
      <c r="N12" s="1143">
        <v>0</v>
      </c>
      <c r="O12" s="1143">
        <v>0</v>
      </c>
      <c r="P12" s="1143">
        <v>0</v>
      </c>
      <c r="Q12" s="1149" t="s">
        <v>176</v>
      </c>
      <c r="R12" s="1149" t="s">
        <v>176</v>
      </c>
      <c r="S12" s="1149" t="s">
        <v>176</v>
      </c>
      <c r="T12" s="1149" t="s">
        <v>176</v>
      </c>
      <c r="U12" s="1149" t="s">
        <v>176</v>
      </c>
      <c r="V12" s="1151">
        <v>0</v>
      </c>
      <c r="W12" s="1151">
        <v>87959</v>
      </c>
      <c r="X12" s="1151">
        <v>144789.32</v>
      </c>
      <c r="Y12" s="1151">
        <v>222318.94</v>
      </c>
      <c r="Z12" s="1152">
        <v>227589.67</v>
      </c>
      <c r="AA12" s="1151">
        <v>203408.96</v>
      </c>
      <c r="AB12" s="1151">
        <v>4386.96</v>
      </c>
      <c r="AC12" s="1151">
        <v>0</v>
      </c>
      <c r="AD12" s="1151">
        <f>'SUM2003'!C12</f>
        <v>0</v>
      </c>
      <c r="AE12" s="1151">
        <f>'SUM2004'!C12</f>
        <v>0</v>
      </c>
      <c r="AF12" s="1122">
        <f>'SUM2005'!C12</f>
        <v>0</v>
      </c>
      <c r="AG12" s="1331">
        <f>'SUM2006'!$C12</f>
        <v>0</v>
      </c>
      <c r="AH12" s="1331">
        <f>'SUM2007'!$D12</f>
        <v>0</v>
      </c>
      <c r="AI12" s="1331">
        <f>'SUM2008'!D12</f>
        <v>0</v>
      </c>
      <c r="AJ12" s="1331">
        <f>'SUM2009'!D12</f>
        <v>0</v>
      </c>
      <c r="AK12" s="1331">
        <f>'SUM2010'!D10</f>
        <v>0</v>
      </c>
      <c r="AL12" s="1331">
        <f>SUM(G12:AK12)</f>
        <v>890452.85</v>
      </c>
      <c r="AM12" s="1331">
        <f>'SUM2011'!D10</f>
        <v>0</v>
      </c>
      <c r="AN12" s="1328">
        <f>'SUM2012'!D10</f>
        <v>0</v>
      </c>
      <c r="AO12" s="1328">
        <f>'SUM2013'!D10</f>
        <v>0</v>
      </c>
      <c r="AP12" s="1328">
        <f>'SUM2014'!D10</f>
        <v>0</v>
      </c>
      <c r="AQ12" s="1328">
        <f>'SUM 2015'!D10</f>
        <v>0</v>
      </c>
      <c r="AR12" s="1365">
        <f>'SUM 2016'!D10</f>
        <v>0</v>
      </c>
      <c r="AS12" s="1365">
        <f>'SUM 2017'!D10</f>
        <v>0</v>
      </c>
      <c r="AT12" s="1450">
        <f>'SUM 2018'!D10</f>
        <v>0</v>
      </c>
      <c r="AU12" s="1851" t="s">
        <v>163</v>
      </c>
      <c r="AV12" s="1852"/>
      <c r="AW12" s="1445"/>
      <c r="AX12" s="1351">
        <f>SUM(W12:AB12)</f>
        <v>890452.85</v>
      </c>
      <c r="AY12" s="1031"/>
      <c r="AZ12" s="1023"/>
      <c r="BA12" s="1023"/>
      <c r="BB12" s="1023"/>
      <c r="BC12" s="1023"/>
      <c r="BD12" s="1023"/>
      <c r="BE12" s="1024"/>
      <c r="BF12" s="1020"/>
      <c r="BG12" s="1026"/>
      <c r="BH12" s="1022"/>
    </row>
    <row r="13" spans="1:62" s="1013" customFormat="1" ht="21" hidden="1" customHeight="1">
      <c r="A13" s="1127" t="s">
        <v>116</v>
      </c>
      <c r="B13" s="1322"/>
      <c r="C13" s="1128"/>
      <c r="D13" s="1129"/>
      <c r="E13" s="1130"/>
      <c r="F13" s="1129"/>
      <c r="G13" s="1131"/>
      <c r="H13" s="1131"/>
      <c r="I13" s="1131"/>
      <c r="J13" s="1131"/>
      <c r="K13" s="1131"/>
      <c r="L13" s="1131"/>
      <c r="M13" s="1131"/>
      <c r="N13" s="1131"/>
      <c r="O13" s="1131"/>
      <c r="P13" s="1131"/>
      <c r="Q13" s="1153"/>
      <c r="R13" s="1154"/>
      <c r="S13" s="1154"/>
      <c r="T13" s="1154"/>
      <c r="U13" s="1155"/>
      <c r="V13" s="1156"/>
      <c r="W13" s="1156"/>
      <c r="X13" s="1156"/>
      <c r="Y13" s="1156"/>
      <c r="Z13" s="1156"/>
      <c r="AA13" s="1156"/>
      <c r="AB13" s="1156"/>
      <c r="AC13" s="1157"/>
      <c r="AD13" s="1157"/>
      <c r="AE13" s="1158"/>
      <c r="AF13" s="1158"/>
      <c r="AG13" s="1332"/>
      <c r="AH13" s="1332"/>
      <c r="AI13" s="1332"/>
      <c r="AJ13" s="1332"/>
      <c r="AK13" s="1332"/>
      <c r="AL13" s="1332"/>
      <c r="AM13" s="1135"/>
      <c r="AN13" s="1332"/>
      <c r="AO13" s="1332"/>
      <c r="AP13" s="1836"/>
      <c r="AQ13" s="1332"/>
      <c r="AR13" s="1344"/>
      <c r="AS13" s="1332"/>
      <c r="AT13" s="1456"/>
      <c r="AU13" s="1342"/>
      <c r="AV13" s="1342"/>
      <c r="AW13" s="1344"/>
      <c r="AX13" s="1353"/>
      <c r="AZ13" s="1023"/>
      <c r="BA13" s="1023"/>
      <c r="BB13" s="1023"/>
      <c r="BC13" s="1023"/>
      <c r="BD13" s="1023"/>
      <c r="BE13" s="1024"/>
      <c r="BF13" s="1020"/>
      <c r="BG13" s="1026"/>
      <c r="BH13" s="1022"/>
    </row>
    <row r="14" spans="1:62" s="1013" customFormat="1" ht="21" hidden="1" customHeight="1">
      <c r="A14" s="1139"/>
      <c r="B14" s="1323" t="s">
        <v>368</v>
      </c>
      <c r="C14" s="1140">
        <v>0</v>
      </c>
      <c r="D14" s="1141">
        <v>0</v>
      </c>
      <c r="E14" s="1142">
        <v>0</v>
      </c>
      <c r="F14" s="1141">
        <v>0</v>
      </c>
      <c r="G14" s="1143">
        <v>0</v>
      </c>
      <c r="H14" s="1143">
        <v>0</v>
      </c>
      <c r="I14" s="1143">
        <v>0</v>
      </c>
      <c r="J14" s="1143">
        <v>0</v>
      </c>
      <c r="K14" s="1143">
        <v>11970</v>
      </c>
      <c r="L14" s="1143">
        <v>287756</v>
      </c>
      <c r="M14" s="1143">
        <v>52392</v>
      </c>
      <c r="N14" s="1143">
        <v>137363</v>
      </c>
      <c r="O14" s="1143">
        <v>221728</v>
      </c>
      <c r="P14" s="1143">
        <v>221186</v>
      </c>
      <c r="Q14" s="1141">
        <v>207516</v>
      </c>
      <c r="R14" s="1141">
        <v>197763</v>
      </c>
      <c r="S14" s="1141">
        <v>196856</v>
      </c>
      <c r="T14" s="1141">
        <v>35345</v>
      </c>
      <c r="U14" s="1145"/>
      <c r="V14" s="1145"/>
      <c r="W14" s="1145"/>
      <c r="X14" s="1145"/>
      <c r="Y14" s="1159"/>
      <c r="Z14" s="1145"/>
      <c r="AA14" s="1145"/>
      <c r="AB14" s="1145"/>
      <c r="AC14" s="1145"/>
      <c r="AD14" s="1145"/>
      <c r="AE14" s="1145"/>
      <c r="AF14" s="1145"/>
      <c r="AG14" s="1330"/>
      <c r="AH14" s="1330"/>
      <c r="AI14" s="1330"/>
      <c r="AJ14" s="1330"/>
      <c r="AK14" s="1330"/>
      <c r="AL14" s="1330">
        <f>SUM(E14:AK14)</f>
        <v>1569875</v>
      </c>
      <c r="AM14" s="1330"/>
      <c r="AN14" s="1330"/>
      <c r="AO14" s="1330"/>
      <c r="AP14" s="1835"/>
      <c r="AQ14" s="1330"/>
      <c r="AR14" s="1343"/>
      <c r="AS14" s="1330"/>
      <c r="AT14" s="1457"/>
      <c r="AU14" s="1853" t="s">
        <v>163</v>
      </c>
      <c r="AV14" s="1854"/>
      <c r="AW14" s="1343"/>
      <c r="AX14" s="1831">
        <f>SUM(K14:T14)</f>
        <v>1569875</v>
      </c>
      <c r="AY14" s="1031"/>
      <c r="AZ14" s="1023"/>
      <c r="BA14" s="1023"/>
      <c r="BB14" s="1023"/>
      <c r="BC14" s="1023"/>
      <c r="BD14" s="1023"/>
      <c r="BE14" s="1024"/>
      <c r="BF14" s="1020"/>
      <c r="BG14" s="1026"/>
      <c r="BH14" s="1022"/>
    </row>
    <row r="15" spans="1:62" s="1013" customFormat="1" ht="21" customHeight="1">
      <c r="A15" s="1120" t="s">
        <v>313</v>
      </c>
      <c r="B15" s="1321"/>
      <c r="C15" s="1121"/>
      <c r="D15" s="1122"/>
      <c r="E15" s="1123"/>
      <c r="F15" s="1122"/>
      <c r="G15" s="1124"/>
      <c r="H15" s="1124"/>
      <c r="I15" s="1124"/>
      <c r="J15" s="1124"/>
      <c r="K15" s="1124"/>
      <c r="L15" s="1124"/>
      <c r="M15" s="1124"/>
      <c r="N15" s="1124"/>
      <c r="O15" s="1124"/>
      <c r="P15" s="1124"/>
      <c r="Q15" s="1122"/>
      <c r="R15" s="1122"/>
      <c r="S15" s="1122"/>
      <c r="T15" s="1122"/>
      <c r="U15" s="1122"/>
      <c r="V15" s="1122"/>
      <c r="W15" s="1122"/>
      <c r="X15" s="1122"/>
      <c r="Y15" s="1160"/>
      <c r="Z15" s="1122"/>
      <c r="AA15" s="1122"/>
      <c r="AB15" s="1122"/>
      <c r="AC15" s="1122"/>
      <c r="AD15" s="1161"/>
      <c r="AE15" s="1162"/>
      <c r="AF15" s="1326"/>
      <c r="AG15" s="1333"/>
      <c r="AH15" s="1333"/>
      <c r="AI15" s="1333"/>
      <c r="AJ15" s="1333"/>
      <c r="AK15" s="1333"/>
      <c r="AL15" s="1328"/>
      <c r="AM15" s="1328"/>
      <c r="AN15" s="1328"/>
      <c r="AO15" s="1328"/>
      <c r="AP15" s="1328"/>
      <c r="AQ15" s="1328"/>
      <c r="AR15" s="1365"/>
      <c r="AS15" s="1365"/>
      <c r="AT15" s="1450"/>
      <c r="AU15" s="1450"/>
      <c r="AV15" s="1450"/>
      <c r="AW15" s="1421"/>
      <c r="AX15" s="1349"/>
      <c r="AY15" s="1031"/>
      <c r="AZ15" s="1023"/>
      <c r="BA15" s="1023"/>
      <c r="BB15" s="1023"/>
      <c r="BC15" s="1023"/>
      <c r="BD15" s="1023"/>
      <c r="BE15" s="1024"/>
      <c r="BF15" s="1020"/>
      <c r="BG15" s="1026"/>
      <c r="BH15" s="1022"/>
    </row>
    <row r="16" spans="1:62" s="1013" customFormat="1" ht="21" hidden="1" customHeight="1">
      <c r="A16" s="1120"/>
      <c r="B16" s="1321" t="s">
        <v>369</v>
      </c>
      <c r="C16" s="1318" t="s">
        <v>176</v>
      </c>
      <c r="D16" s="1163" t="s">
        <v>176</v>
      </c>
      <c r="E16" s="1164" t="s">
        <v>176</v>
      </c>
      <c r="F16" s="1165" t="s">
        <v>176</v>
      </c>
      <c r="G16" s="1166" t="s">
        <v>176</v>
      </c>
      <c r="H16" s="1166" t="s">
        <v>176</v>
      </c>
      <c r="I16" s="1166" t="s">
        <v>176</v>
      </c>
      <c r="J16" s="1166" t="s">
        <v>176</v>
      </c>
      <c r="K16" s="1166" t="s">
        <v>176</v>
      </c>
      <c r="L16" s="1166" t="s">
        <v>176</v>
      </c>
      <c r="M16" s="1166" t="s">
        <v>176</v>
      </c>
      <c r="N16" s="1166" t="s">
        <v>176</v>
      </c>
      <c r="O16" s="1166" t="s">
        <v>176</v>
      </c>
      <c r="P16" s="1166" t="s">
        <v>176</v>
      </c>
      <c r="Q16" s="1166" t="s">
        <v>176</v>
      </c>
      <c r="R16" s="1166" t="s">
        <v>176</v>
      </c>
      <c r="S16" s="1166" t="s">
        <v>176</v>
      </c>
      <c r="T16" s="1166" t="s">
        <v>176</v>
      </c>
      <c r="U16" s="1166" t="s">
        <v>176</v>
      </c>
      <c r="V16" s="1166" t="s">
        <v>176</v>
      </c>
      <c r="W16" s="1166" t="s">
        <v>176</v>
      </c>
      <c r="X16" s="1166" t="s">
        <v>176</v>
      </c>
      <c r="Y16" s="1166" t="s">
        <v>176</v>
      </c>
      <c r="Z16" s="1166" t="s">
        <v>176</v>
      </c>
      <c r="AA16" s="1166" t="s">
        <v>176</v>
      </c>
      <c r="AB16" s="1166" t="s">
        <v>176</v>
      </c>
      <c r="AC16" s="1166" t="s">
        <v>176</v>
      </c>
      <c r="AD16" s="1166" t="s">
        <v>176</v>
      </c>
      <c r="AE16" s="1167" t="s">
        <v>176</v>
      </c>
      <c r="AF16" s="1327" t="s">
        <v>176</v>
      </c>
      <c r="AG16" s="1334" t="s">
        <v>176</v>
      </c>
      <c r="AH16" s="1334" t="s">
        <v>176</v>
      </c>
      <c r="AI16" s="1334" t="s">
        <v>176</v>
      </c>
      <c r="AJ16" s="1334" t="s">
        <v>176</v>
      </c>
      <c r="AK16" s="1334" t="s">
        <v>176</v>
      </c>
      <c r="AL16" s="1334" t="s">
        <v>176</v>
      </c>
      <c r="AM16" s="1334" t="s">
        <v>176</v>
      </c>
      <c r="AN16" s="1334" t="s">
        <v>176</v>
      </c>
      <c r="AO16" s="1334" t="s">
        <v>176</v>
      </c>
      <c r="AP16" s="1334" t="s">
        <v>176</v>
      </c>
      <c r="AQ16" s="1334" t="s">
        <v>176</v>
      </c>
      <c r="AR16" s="1334" t="s">
        <v>176</v>
      </c>
      <c r="AS16" s="1334" t="s">
        <v>176</v>
      </c>
      <c r="AT16" s="1334" t="s">
        <v>176</v>
      </c>
      <c r="AU16" s="1842" t="s">
        <v>163</v>
      </c>
      <c r="AV16" s="1843"/>
      <c r="AW16" s="1445"/>
      <c r="AX16" s="1351">
        <v>0</v>
      </c>
      <c r="AY16" s="1031"/>
      <c r="AZ16" s="1023"/>
      <c r="BA16" s="1023"/>
      <c r="BB16" s="1023"/>
      <c r="BC16" s="1023"/>
      <c r="BD16" s="1023"/>
      <c r="BE16" s="1024"/>
      <c r="BF16" s="1020"/>
      <c r="BG16" s="1026"/>
      <c r="BH16" s="1022"/>
    </row>
    <row r="17" spans="1:60" s="1013" customFormat="1" ht="21" customHeight="1">
      <c r="A17" s="1120"/>
      <c r="B17" s="1321" t="s">
        <v>495</v>
      </c>
      <c r="C17" s="1319" t="s">
        <v>176</v>
      </c>
      <c r="D17" s="1168" t="s">
        <v>176</v>
      </c>
      <c r="E17" s="1169" t="s">
        <v>176</v>
      </c>
      <c r="F17" s="1170" t="s">
        <v>176</v>
      </c>
      <c r="G17" s="1149" t="s">
        <v>176</v>
      </c>
      <c r="H17" s="1149" t="s">
        <v>176</v>
      </c>
      <c r="I17" s="1149" t="s">
        <v>176</v>
      </c>
      <c r="J17" s="1149" t="s">
        <v>176</v>
      </c>
      <c r="K17" s="1149" t="s">
        <v>176</v>
      </c>
      <c r="L17" s="1149" t="s">
        <v>176</v>
      </c>
      <c r="M17" s="1149" t="s">
        <v>176</v>
      </c>
      <c r="N17" s="1149" t="s">
        <v>176</v>
      </c>
      <c r="O17" s="1149" t="s">
        <v>176</v>
      </c>
      <c r="P17" s="1149" t="s">
        <v>176</v>
      </c>
      <c r="Q17" s="1149" t="s">
        <v>176</v>
      </c>
      <c r="R17" s="1149" t="s">
        <v>176</v>
      </c>
      <c r="S17" s="1149" t="s">
        <v>176</v>
      </c>
      <c r="T17" s="1149" t="s">
        <v>176</v>
      </c>
      <c r="U17" s="1149" t="s">
        <v>176</v>
      </c>
      <c r="V17" s="1149" t="s">
        <v>176</v>
      </c>
      <c r="W17" s="1149" t="s">
        <v>176</v>
      </c>
      <c r="X17" s="1149" t="s">
        <v>176</v>
      </c>
      <c r="Y17" s="1149" t="s">
        <v>176</v>
      </c>
      <c r="Z17" s="1149" t="s">
        <v>176</v>
      </c>
      <c r="AA17" s="1149" t="s">
        <v>176</v>
      </c>
      <c r="AB17" s="1149" t="s">
        <v>176</v>
      </c>
      <c r="AC17" s="1149" t="s">
        <v>176</v>
      </c>
      <c r="AD17" s="1149" t="s">
        <v>176</v>
      </c>
      <c r="AE17" s="1149" t="s">
        <v>176</v>
      </c>
      <c r="AF17" s="1150" t="s">
        <v>176</v>
      </c>
      <c r="AG17" s="1335" t="s">
        <v>176</v>
      </c>
      <c r="AH17" s="1335" t="s">
        <v>176</v>
      </c>
      <c r="AI17" s="1335" t="s">
        <v>176</v>
      </c>
      <c r="AJ17" s="1335" t="s">
        <v>176</v>
      </c>
      <c r="AK17" s="1335" t="s">
        <v>176</v>
      </c>
      <c r="AL17" s="1335" t="s">
        <v>176</v>
      </c>
      <c r="AM17" s="1335" t="s">
        <v>176</v>
      </c>
      <c r="AN17" s="1335" t="s">
        <v>176</v>
      </c>
      <c r="AO17" s="1335">
        <v>0</v>
      </c>
      <c r="AP17" s="1331">
        <f>'SUM2014'!D14</f>
        <v>1952</v>
      </c>
      <c r="AQ17" s="1331">
        <f>'SUM 2015'!D14</f>
        <v>210573</v>
      </c>
      <c r="AR17" s="1366">
        <f>'SUM 2016'!D14</f>
        <v>213647</v>
      </c>
      <c r="AS17" s="1331">
        <f>'SUM 2017'!D14</f>
        <v>240240</v>
      </c>
      <c r="AT17" s="1450">
        <f>'SUM 2018'!D14</f>
        <v>185097</v>
      </c>
      <c r="AU17" s="1450">
        <f>'SUM 2019'!D14</f>
        <v>185718</v>
      </c>
      <c r="AV17" s="1450">
        <f>'SUM 2020'!D14</f>
        <v>83235</v>
      </c>
      <c r="AW17" s="1421">
        <f>'SUM 2021'!D14</f>
        <v>0</v>
      </c>
      <c r="AX17" s="1349">
        <f>SUM(AP17:AW17)</f>
        <v>1120462</v>
      </c>
      <c r="AY17" s="1031"/>
      <c r="AZ17" s="1023"/>
      <c r="BA17" s="1023"/>
      <c r="BB17" s="1023"/>
      <c r="BC17" s="1023"/>
      <c r="BD17" s="1023"/>
      <c r="BE17" s="1024"/>
      <c r="BF17" s="1020"/>
      <c r="BG17" s="1026"/>
      <c r="BH17" s="1022"/>
    </row>
    <row r="18" spans="1:60" s="1013" customFormat="1" ht="21" hidden="1" customHeight="1">
      <c r="A18" s="1127" t="s">
        <v>72</v>
      </c>
      <c r="B18" s="1322"/>
      <c r="C18" s="1128"/>
      <c r="D18" s="1129"/>
      <c r="E18" s="1130"/>
      <c r="F18" s="1129"/>
      <c r="G18" s="1131"/>
      <c r="H18" s="1131"/>
      <c r="I18" s="1131"/>
      <c r="J18" s="1131"/>
      <c r="K18" s="1131"/>
      <c r="L18" s="1131"/>
      <c r="M18" s="1131"/>
      <c r="N18" s="1131"/>
      <c r="O18" s="1131"/>
      <c r="P18" s="1131"/>
      <c r="Q18" s="1147"/>
      <c r="R18" s="1147"/>
      <c r="S18" s="1147"/>
      <c r="T18" s="1147"/>
      <c r="U18" s="1147"/>
      <c r="V18" s="1147"/>
      <c r="W18" s="1147"/>
      <c r="X18" s="1147"/>
      <c r="Y18" s="1147"/>
      <c r="Z18" s="1148"/>
      <c r="AA18" s="1147"/>
      <c r="AB18" s="1147"/>
      <c r="AC18" s="1147"/>
      <c r="AD18" s="1147"/>
      <c r="AE18" s="1158"/>
      <c r="AF18" s="1158"/>
      <c r="AG18" s="1332"/>
      <c r="AH18" s="1332"/>
      <c r="AI18" s="1332"/>
      <c r="AJ18" s="1332"/>
      <c r="AK18" s="1332"/>
      <c r="AL18" s="1332"/>
      <c r="AM18" s="1135"/>
      <c r="AN18" s="1332"/>
      <c r="AO18" s="1332"/>
      <c r="AP18" s="1836"/>
      <c r="AQ18" s="1339"/>
      <c r="AR18" s="1345"/>
      <c r="AS18" s="1423"/>
      <c r="AT18" s="1458"/>
      <c r="AU18" s="1342"/>
      <c r="AV18" s="1342"/>
      <c r="AW18" s="1345"/>
      <c r="AX18" s="1354"/>
      <c r="AY18" s="1031"/>
      <c r="AZ18" s="1023"/>
      <c r="BA18" s="1023"/>
      <c r="BB18" s="1023"/>
      <c r="BC18" s="1023"/>
      <c r="BD18" s="1023"/>
      <c r="BE18" s="1024"/>
      <c r="BF18" s="1020"/>
      <c r="BG18" s="1026"/>
      <c r="BH18" s="1022"/>
    </row>
    <row r="19" spans="1:60" s="1013" customFormat="1" ht="21" hidden="1" customHeight="1">
      <c r="A19" s="1139"/>
      <c r="B19" s="1323" t="s">
        <v>370</v>
      </c>
      <c r="C19" s="1140">
        <v>282671</v>
      </c>
      <c r="D19" s="1141">
        <v>254709</v>
      </c>
      <c r="E19" s="1142">
        <v>271381</v>
      </c>
      <c r="F19" s="1141">
        <v>353734</v>
      </c>
      <c r="G19" s="1143">
        <v>299863</v>
      </c>
      <c r="H19" s="1143">
        <v>286671</v>
      </c>
      <c r="I19" s="1143">
        <v>263012</v>
      </c>
      <c r="J19" s="1143">
        <v>231637</v>
      </c>
      <c r="K19" s="1143">
        <v>282591</v>
      </c>
      <c r="L19" s="1143">
        <v>247720</v>
      </c>
      <c r="M19" s="1143">
        <v>214671</v>
      </c>
      <c r="N19" s="1143">
        <v>246421</v>
      </c>
      <c r="O19" s="1143">
        <v>268967</v>
      </c>
      <c r="P19" s="1143">
        <v>266463</v>
      </c>
      <c r="Q19" s="1151">
        <v>269120</v>
      </c>
      <c r="R19" s="1151">
        <v>233764</v>
      </c>
      <c r="S19" s="1151">
        <v>224571</v>
      </c>
      <c r="T19" s="1151">
        <v>227082</v>
      </c>
      <c r="U19" s="1151">
        <v>247831</v>
      </c>
      <c r="V19" s="1151">
        <v>274181</v>
      </c>
      <c r="W19" s="1151">
        <v>281396</v>
      </c>
      <c r="X19" s="1151">
        <v>289569</v>
      </c>
      <c r="Y19" s="1151">
        <v>236138</v>
      </c>
      <c r="Z19" s="1152">
        <v>246723</v>
      </c>
      <c r="AA19" s="1151">
        <v>269624</v>
      </c>
      <c r="AB19" s="1151">
        <v>228371</v>
      </c>
      <c r="AC19" s="1151">
        <v>0</v>
      </c>
      <c r="AD19" s="1151">
        <v>0</v>
      </c>
      <c r="AE19" s="1145"/>
      <c r="AF19" s="1171"/>
      <c r="AG19" s="1340"/>
      <c r="AH19" s="1340"/>
      <c r="AI19" s="1340"/>
      <c r="AJ19" s="1340"/>
      <c r="AK19" s="1340"/>
      <c r="AL19" s="1330">
        <f>SUM(C19:AK19)</f>
        <v>6798881</v>
      </c>
      <c r="AM19" s="1340"/>
      <c r="AN19" s="1340"/>
      <c r="AO19" s="1340"/>
      <c r="AP19" s="1833"/>
      <c r="AQ19" s="1330"/>
      <c r="AR19" s="1343"/>
      <c r="AS19" s="1330"/>
      <c r="AT19" s="1445"/>
      <c r="AU19" s="1853" t="s">
        <v>163</v>
      </c>
      <c r="AV19" s="1854"/>
      <c r="AW19" s="1362"/>
      <c r="AX19" s="1351">
        <f>SUM(C19:AB19)</f>
        <v>6798881</v>
      </c>
      <c r="AY19" s="1031"/>
      <c r="AZ19" s="1027"/>
      <c r="BA19" s="1027"/>
      <c r="BB19" s="1027"/>
      <c r="BC19" s="1028"/>
      <c r="BD19" s="1029"/>
      <c r="BE19" s="1030"/>
      <c r="BF19" s="1020"/>
      <c r="BG19" s="1026"/>
      <c r="BH19" s="1022"/>
    </row>
    <row r="20" spans="1:60" s="1013" customFormat="1" ht="21" customHeight="1">
      <c r="A20" s="1127" t="s">
        <v>552</v>
      </c>
      <c r="B20" s="1322"/>
      <c r="C20" s="1128"/>
      <c r="D20" s="1129"/>
      <c r="E20" s="1130"/>
      <c r="F20" s="1129"/>
      <c r="G20" s="1131"/>
      <c r="H20" s="1131"/>
      <c r="I20" s="1131"/>
      <c r="J20" s="1131"/>
      <c r="K20" s="1131"/>
      <c r="L20" s="1131"/>
      <c r="M20" s="1131"/>
      <c r="N20" s="1131"/>
      <c r="O20" s="1131"/>
      <c r="P20" s="1131"/>
      <c r="Q20" s="1147"/>
      <c r="R20" s="1147"/>
      <c r="S20" s="1147"/>
      <c r="T20" s="1147"/>
      <c r="U20" s="1147"/>
      <c r="V20" s="1147"/>
      <c r="W20" s="1147"/>
      <c r="X20" s="1147"/>
      <c r="Y20" s="1147"/>
      <c r="Z20" s="1148"/>
      <c r="AA20" s="1147"/>
      <c r="AB20" s="1172"/>
      <c r="AC20" s="1172"/>
      <c r="AD20" s="1173"/>
      <c r="AE20" s="1174"/>
      <c r="AF20" s="1175"/>
      <c r="AG20" s="1328"/>
      <c r="AH20" s="1328"/>
      <c r="AI20" s="1328"/>
      <c r="AJ20" s="1328"/>
      <c r="AK20" s="1328"/>
      <c r="AL20" s="1328"/>
      <c r="AM20" s="1328"/>
      <c r="AN20" s="1328"/>
      <c r="AO20" s="1328"/>
      <c r="AP20" s="1328"/>
      <c r="AQ20" s="1328"/>
      <c r="AR20" s="1365"/>
      <c r="AS20" s="1365"/>
      <c r="AT20" s="1453"/>
      <c r="AU20" s="1451"/>
      <c r="AV20" s="1451"/>
      <c r="AW20" s="1422"/>
      <c r="AX20" s="1352"/>
      <c r="AY20" s="1031"/>
      <c r="AZ20" s="1023"/>
      <c r="BA20" s="1023"/>
      <c r="BB20" s="1023"/>
      <c r="BC20" s="1023"/>
      <c r="BD20" s="1023"/>
      <c r="BE20" s="1030"/>
      <c r="BF20" s="1020"/>
      <c r="BG20" s="1026"/>
      <c r="BH20" s="1022"/>
    </row>
    <row r="21" spans="1:60" s="1013" customFormat="1" ht="21" customHeight="1">
      <c r="A21" s="1120"/>
      <c r="B21" s="1321" t="s">
        <v>541</v>
      </c>
      <c r="C21" s="1121">
        <v>0</v>
      </c>
      <c r="D21" s="1122">
        <v>0</v>
      </c>
      <c r="E21" s="1123">
        <v>0</v>
      </c>
      <c r="F21" s="1122">
        <v>0</v>
      </c>
      <c r="G21" s="1124">
        <v>0</v>
      </c>
      <c r="H21" s="1124">
        <v>0</v>
      </c>
      <c r="I21" s="1124">
        <v>0</v>
      </c>
      <c r="J21" s="1124">
        <v>0</v>
      </c>
      <c r="K21" s="1124">
        <v>0</v>
      </c>
      <c r="L21" s="1124">
        <v>790000</v>
      </c>
      <c r="M21" s="1124">
        <v>4311628</v>
      </c>
      <c r="N21" s="1124">
        <v>7330088</v>
      </c>
      <c r="O21" s="1124">
        <v>7835229</v>
      </c>
      <c r="P21" s="1124">
        <v>8100500</v>
      </c>
      <c r="Q21" s="1125">
        <v>7443900</v>
      </c>
      <c r="R21" s="1125">
        <v>7601000</v>
      </c>
      <c r="S21" s="1125">
        <v>7500000</v>
      </c>
      <c r="T21" s="1125">
        <v>7907585</v>
      </c>
      <c r="U21" s="1125">
        <v>8620715</v>
      </c>
      <c r="V21" s="1125">
        <v>8310744</v>
      </c>
      <c r="W21" s="1125">
        <v>8508200</v>
      </c>
      <c r="X21" s="1125">
        <v>8799439</v>
      </c>
      <c r="Y21" s="1125">
        <v>8836861</v>
      </c>
      <c r="Z21" s="1126">
        <v>9215933</v>
      </c>
      <c r="AA21" s="1125">
        <v>7987833</v>
      </c>
      <c r="AB21" s="1125">
        <v>7386216</v>
      </c>
      <c r="AC21" s="1125">
        <v>6400152</v>
      </c>
      <c r="AD21" s="1125">
        <f>'SUM2003'!C19</f>
        <v>6471241</v>
      </c>
      <c r="AE21" s="1125">
        <f>'SUM2004'!C19</f>
        <v>5736515</v>
      </c>
      <c r="AF21" s="1122">
        <f>'SUM2005'!C19</f>
        <v>5357121</v>
      </c>
      <c r="AG21" s="1328">
        <f>'SUM2006'!$C17</f>
        <v>2795814</v>
      </c>
      <c r="AH21" s="1328">
        <f>'SUM2007'!$D17</f>
        <v>1630993</v>
      </c>
      <c r="AI21" s="1328">
        <f>'SUM2008'!D17</f>
        <v>1020303</v>
      </c>
      <c r="AJ21" s="1328">
        <f>'SUM2009'!D17</f>
        <v>697236</v>
      </c>
      <c r="AK21" s="1328">
        <f>'SUM2010'!D15</f>
        <v>848262</v>
      </c>
      <c r="AL21" s="1328">
        <f>SUM(C21:AK21)</f>
        <v>157443508</v>
      </c>
      <c r="AM21" s="1328">
        <f>'SUM2011'!D15</f>
        <v>1479924</v>
      </c>
      <c r="AN21" s="1328">
        <f>'SUM2012'!D17</f>
        <v>1546804</v>
      </c>
      <c r="AO21" s="1328">
        <f>'SUM2013'!D19</f>
        <v>2937817</v>
      </c>
      <c r="AP21" s="1328">
        <f>'SUM2014'!D17</f>
        <v>3423249</v>
      </c>
      <c r="AQ21" s="1328">
        <f>'SUM 2015'!D17</f>
        <v>2745691</v>
      </c>
      <c r="AR21" s="1365">
        <f>'SUM 2016'!D17</f>
        <v>3643619</v>
      </c>
      <c r="AS21" s="1365">
        <f>'SUM 2017'!D17</f>
        <v>0</v>
      </c>
      <c r="AT21" s="1454">
        <f>'SUM 2018'!D17</f>
        <v>0</v>
      </c>
      <c r="AU21" s="1454">
        <f>'SUM 2019'!D17</f>
        <v>0</v>
      </c>
      <c r="AV21" s="1454">
        <f>'SUM 2020'!D17</f>
        <v>0</v>
      </c>
      <c r="AW21" s="1421">
        <f>'SUM 2021'!D18</f>
        <v>0</v>
      </c>
      <c r="AX21" s="1349">
        <f>SUM(AL21:AW21)</f>
        <v>173220612</v>
      </c>
      <c r="AY21" s="1031"/>
      <c r="AZ21" s="1031"/>
      <c r="BA21" s="1031"/>
      <c r="BB21" s="1031"/>
      <c r="BC21" s="1031"/>
      <c r="BD21" s="1023"/>
      <c r="BE21" s="1030"/>
      <c r="BF21" s="1020"/>
      <c r="BG21" s="1026"/>
      <c r="BH21" s="1022"/>
    </row>
    <row r="22" spans="1:60" s="1013" customFormat="1" ht="21" customHeight="1">
      <c r="A22" s="1139"/>
      <c r="B22" s="1323" t="s">
        <v>542</v>
      </c>
      <c r="C22" s="1140"/>
      <c r="D22" s="1141"/>
      <c r="E22" s="1142"/>
      <c r="F22" s="1141"/>
      <c r="G22" s="1143"/>
      <c r="H22" s="1143"/>
      <c r="I22" s="1143"/>
      <c r="J22" s="1143"/>
      <c r="K22" s="1143"/>
      <c r="L22" s="1143"/>
      <c r="M22" s="1143"/>
      <c r="N22" s="1143"/>
      <c r="O22" s="1143"/>
      <c r="P22" s="1143"/>
      <c r="Q22" s="1149" t="s">
        <v>176</v>
      </c>
      <c r="R22" s="1149" t="s">
        <v>176</v>
      </c>
      <c r="S22" s="1149" t="s">
        <v>176</v>
      </c>
      <c r="T22" s="1149" t="s">
        <v>176</v>
      </c>
      <c r="U22" s="1149" t="s">
        <v>176</v>
      </c>
      <c r="V22" s="1149" t="s">
        <v>176</v>
      </c>
      <c r="W22" s="1149" t="s">
        <v>176</v>
      </c>
      <c r="X22" s="1149" t="s">
        <v>176</v>
      </c>
      <c r="Y22" s="1149" t="s">
        <v>176</v>
      </c>
      <c r="Z22" s="1149" t="s">
        <v>176</v>
      </c>
      <c r="AA22" s="1149" t="s">
        <v>176</v>
      </c>
      <c r="AB22" s="1149">
        <v>0</v>
      </c>
      <c r="AC22" s="1151">
        <v>330307</v>
      </c>
      <c r="AD22" s="1151">
        <f>'SUM2003'!C20</f>
        <v>992226</v>
      </c>
      <c r="AE22" s="1151">
        <f>'SUM2004'!C20</f>
        <v>720110</v>
      </c>
      <c r="AF22" s="1122">
        <f>'SUM2005'!C20</f>
        <v>1615976</v>
      </c>
      <c r="AG22" s="1331">
        <f>'SUM2006'!$C18</f>
        <v>3987509</v>
      </c>
      <c r="AH22" s="1331">
        <f>'SUM2007'!$D18</f>
        <v>5169675</v>
      </c>
      <c r="AI22" s="1331">
        <f>'SUM2008'!D18</f>
        <v>5470255</v>
      </c>
      <c r="AJ22" s="1331">
        <f>'SUM2009'!D18</f>
        <v>4392099</v>
      </c>
      <c r="AK22" s="1331">
        <f>'SUM2010'!D16</f>
        <v>3332661</v>
      </c>
      <c r="AL22" s="1331">
        <f>SUM(E22:AK22)</f>
        <v>26010818</v>
      </c>
      <c r="AM22" s="1331">
        <f>'SUM2011'!D16</f>
        <v>2741622</v>
      </c>
      <c r="AN22" s="1331">
        <f>'SUM2012'!D18</f>
        <v>2680975</v>
      </c>
      <c r="AO22" s="1331">
        <f>'SUM2013'!D20</f>
        <v>2040482</v>
      </c>
      <c r="AP22" s="1331">
        <f>'SUM2014'!D18</f>
        <v>1834491</v>
      </c>
      <c r="AQ22" s="1331">
        <f>'SUM 2015'!D18</f>
        <v>607826</v>
      </c>
      <c r="AR22" s="1366">
        <f>'SUM 2016'!D18</f>
        <v>21372</v>
      </c>
      <c r="AS22" s="1366">
        <f>'SUM 2017'!D18</f>
        <v>0</v>
      </c>
      <c r="AT22" s="1452">
        <f>'SUM 2018'!D18</f>
        <v>0</v>
      </c>
      <c r="AU22" s="1452">
        <f>'SUM 2019'!D18</f>
        <v>0</v>
      </c>
      <c r="AV22" s="1452">
        <f>'SUM 2020'!D18</f>
        <v>0</v>
      </c>
      <c r="AW22" s="1841">
        <f>'SUM 2021'!D19</f>
        <v>0</v>
      </c>
      <c r="AX22" s="1349">
        <f>SUM(AL22:AR22)</f>
        <v>35937586</v>
      </c>
      <c r="AY22" s="1031"/>
      <c r="AZ22" s="1031"/>
      <c r="BA22" s="1031"/>
      <c r="BB22" s="1031"/>
      <c r="BC22" s="1031"/>
      <c r="BD22" s="1023"/>
      <c r="BE22" s="1030"/>
      <c r="BF22" s="1020"/>
      <c r="BG22" s="1026"/>
      <c r="BH22" s="1022"/>
    </row>
    <row r="23" spans="1:60" s="1013" customFormat="1" ht="21" customHeight="1">
      <c r="A23" s="1127" t="s">
        <v>75</v>
      </c>
      <c r="B23" s="1322"/>
      <c r="C23" s="1128"/>
      <c r="D23" s="1129"/>
      <c r="E23" s="1130"/>
      <c r="F23" s="1129"/>
      <c r="G23" s="1131"/>
      <c r="H23" s="1131"/>
      <c r="I23" s="1131"/>
      <c r="J23" s="1131"/>
      <c r="K23" s="1131"/>
      <c r="L23" s="1131"/>
      <c r="M23" s="1131"/>
      <c r="N23" s="1131"/>
      <c r="O23" s="1131"/>
      <c r="P23" s="1131"/>
      <c r="Q23" s="1147"/>
      <c r="R23" s="1147"/>
      <c r="S23" s="1147"/>
      <c r="T23" s="1147"/>
      <c r="U23" s="1147"/>
      <c r="V23" s="1147"/>
      <c r="W23" s="1147"/>
      <c r="X23" s="1147"/>
      <c r="Y23" s="1147"/>
      <c r="Z23" s="1148"/>
      <c r="AA23" s="1147"/>
      <c r="AB23" s="1147"/>
      <c r="AC23" s="1147"/>
      <c r="AD23" s="1147"/>
      <c r="AE23" s="1147"/>
      <c r="AF23" s="1129"/>
      <c r="AG23" s="1328"/>
      <c r="AH23" s="1328"/>
      <c r="AI23" s="1328"/>
      <c r="AJ23" s="1328"/>
      <c r="AK23" s="1328"/>
      <c r="AL23" s="1328"/>
      <c r="AM23" s="1328"/>
      <c r="AN23" s="1328"/>
      <c r="AO23" s="1328"/>
      <c r="AP23" s="1328"/>
      <c r="AQ23" s="1328"/>
      <c r="AR23" s="1365"/>
      <c r="AS23" s="1365"/>
      <c r="AT23" s="1450"/>
      <c r="AU23" s="1450"/>
      <c r="AV23" s="1450"/>
      <c r="AW23" s="1421"/>
      <c r="AX23" s="1352"/>
      <c r="AY23" s="1031"/>
      <c r="AZ23" s="1023"/>
      <c r="BA23" s="1023"/>
      <c r="BB23" s="1023"/>
      <c r="BC23" s="1031"/>
      <c r="BD23" s="1023"/>
      <c r="BE23" s="1030"/>
      <c r="BF23" s="1020"/>
      <c r="BG23" s="1026"/>
      <c r="BH23" s="1022"/>
    </row>
    <row r="24" spans="1:60" s="1013" customFormat="1" ht="21" customHeight="1">
      <c r="A24" s="1120"/>
      <c r="B24" s="1321" t="s">
        <v>496</v>
      </c>
      <c r="C24" s="1121">
        <v>0</v>
      </c>
      <c r="D24" s="1122">
        <v>0</v>
      </c>
      <c r="E24" s="1123">
        <v>0</v>
      </c>
      <c r="F24" s="1122">
        <v>0</v>
      </c>
      <c r="G24" s="1124">
        <v>0</v>
      </c>
      <c r="H24" s="1124">
        <v>0</v>
      </c>
      <c r="I24" s="1124">
        <v>0</v>
      </c>
      <c r="J24" s="1124">
        <v>0</v>
      </c>
      <c r="K24" s="1124">
        <v>382637</v>
      </c>
      <c r="L24" s="1124">
        <v>2750592</v>
      </c>
      <c r="M24" s="1124">
        <v>2658006</v>
      </c>
      <c r="N24" s="1124">
        <v>2820124</v>
      </c>
      <c r="O24" s="1124">
        <v>2502072</v>
      </c>
      <c r="P24" s="1124">
        <v>2797772</v>
      </c>
      <c r="Q24" s="1125">
        <v>2966307</v>
      </c>
      <c r="R24" s="1125">
        <v>2799983</v>
      </c>
      <c r="S24" s="1125">
        <v>2839234</v>
      </c>
      <c r="T24" s="1125">
        <v>3458589</v>
      </c>
      <c r="U24" s="1125">
        <v>3421751</v>
      </c>
      <c r="V24" s="1125">
        <v>3748956</v>
      </c>
      <c r="W24" s="1125">
        <v>3870602</v>
      </c>
      <c r="X24" s="1125">
        <v>4132651</v>
      </c>
      <c r="Y24" s="1125">
        <v>3816570</v>
      </c>
      <c r="Z24" s="1126">
        <v>3420339</v>
      </c>
      <c r="AA24" s="1125">
        <v>3449363</v>
      </c>
      <c r="AB24" s="1125">
        <v>3275214</v>
      </c>
      <c r="AC24" s="1125">
        <v>4028314</v>
      </c>
      <c r="AD24" s="1125">
        <f>'SUM2003'!C23</f>
        <v>4245666</v>
      </c>
      <c r="AE24" s="1125">
        <f>'SUM2004'!C23</f>
        <v>4262717</v>
      </c>
      <c r="AF24" s="1122">
        <f>'SUM2005'!C23</f>
        <v>4602753</v>
      </c>
      <c r="AG24" s="1328">
        <f>'SUM2006'!$C21</f>
        <v>3972626</v>
      </c>
      <c r="AH24" s="1328">
        <f>'SUM2007'!$D21</f>
        <v>4153485</v>
      </c>
      <c r="AI24" s="1328">
        <f>'SUM2008'!D21</f>
        <v>4054916</v>
      </c>
      <c r="AJ24" s="1328">
        <f>'SUM2009'!D21</f>
        <v>3845279</v>
      </c>
      <c r="AK24" s="1328">
        <f>'SUM2010'!D19</f>
        <v>4568991</v>
      </c>
      <c r="AL24" s="1328">
        <f>SUM(C24:AK24)</f>
        <v>92845509</v>
      </c>
      <c r="AM24" s="1328">
        <f>'SUM2011'!D19</f>
        <v>4014304</v>
      </c>
      <c r="AN24" s="1328">
        <f>'SUM2012'!D21</f>
        <v>3548916</v>
      </c>
      <c r="AO24" s="1328">
        <f>'SUM2013'!D23</f>
        <v>2449350</v>
      </c>
      <c r="AP24" s="1328">
        <f>'SUM2014'!D21</f>
        <v>2903406</v>
      </c>
      <c r="AQ24" s="1328">
        <f>'SUM 2015'!D21</f>
        <v>2072130</v>
      </c>
      <c r="AR24" s="1365">
        <f>'SUM 2016'!D21</f>
        <v>2177192</v>
      </c>
      <c r="AS24" s="1365">
        <f>'SUM 2017'!D21</f>
        <v>1312181</v>
      </c>
      <c r="AT24" s="1450">
        <f>'SUM 2018'!D21</f>
        <v>1221253</v>
      </c>
      <c r="AU24" s="1450">
        <f>'SUM 2019'!D21</f>
        <v>1065829</v>
      </c>
      <c r="AV24" s="1450">
        <f>'SUM 2020'!D21</f>
        <v>693180</v>
      </c>
      <c r="AW24" s="1448">
        <f>'SUM 2021'!D21</f>
        <v>850117</v>
      </c>
      <c r="AX24" s="1349">
        <f>SUM(AL24:AW24)</f>
        <v>115153367</v>
      </c>
      <c r="AY24" s="1031"/>
      <c r="AZ24" s="1031"/>
      <c r="BA24" s="1031"/>
      <c r="BB24" s="1031"/>
      <c r="BC24" s="1031"/>
      <c r="BD24" s="1023"/>
      <c r="BE24" s="1030"/>
      <c r="BF24" s="1020"/>
      <c r="BG24" s="1026"/>
      <c r="BH24" s="1022"/>
    </row>
    <row r="25" spans="1:60" s="1013" customFormat="1" ht="21" customHeight="1">
      <c r="A25" s="1139"/>
      <c r="B25" s="1323" t="s">
        <v>497</v>
      </c>
      <c r="C25" s="1140"/>
      <c r="D25" s="1141"/>
      <c r="E25" s="1142"/>
      <c r="F25" s="1141"/>
      <c r="G25" s="1143"/>
      <c r="H25" s="1143"/>
      <c r="I25" s="1143"/>
      <c r="J25" s="1143"/>
      <c r="K25" s="1143"/>
      <c r="L25" s="1143"/>
      <c r="M25" s="1143"/>
      <c r="N25" s="1143"/>
      <c r="O25" s="1143"/>
      <c r="P25" s="1143"/>
      <c r="Q25" s="1151"/>
      <c r="R25" s="1151"/>
      <c r="S25" s="1151"/>
      <c r="T25" s="1151"/>
      <c r="U25" s="1151"/>
      <c r="V25" s="1151"/>
      <c r="W25" s="1151"/>
      <c r="X25" s="1151"/>
      <c r="Y25" s="1151"/>
      <c r="Z25" s="1152"/>
      <c r="AA25" s="1149" t="s">
        <v>176</v>
      </c>
      <c r="AB25" s="1149" t="s">
        <v>176</v>
      </c>
      <c r="AC25" s="1149" t="s">
        <v>176</v>
      </c>
      <c r="AD25" s="1149" t="s">
        <v>176</v>
      </c>
      <c r="AE25" s="1149" t="s">
        <v>176</v>
      </c>
      <c r="AF25" s="1150" t="s">
        <v>176</v>
      </c>
      <c r="AG25" s="1335" t="s">
        <v>176</v>
      </c>
      <c r="AH25" s="1335" t="s">
        <v>176</v>
      </c>
      <c r="AI25" s="1335" t="s">
        <v>176</v>
      </c>
      <c r="AJ25" s="1335" t="s">
        <v>176</v>
      </c>
      <c r="AK25" s="1335" t="s">
        <v>176</v>
      </c>
      <c r="AL25" s="1335" t="s">
        <v>176</v>
      </c>
      <c r="AM25" s="1335" t="s">
        <v>176</v>
      </c>
      <c r="AN25" s="1331">
        <f>'SUM2012'!D22</f>
        <v>288978</v>
      </c>
      <c r="AO25" s="1331">
        <f>'SUM2013'!D24</f>
        <v>1464027</v>
      </c>
      <c r="AP25" s="1331">
        <f>'SUM2014'!D22</f>
        <v>1558027</v>
      </c>
      <c r="AQ25" s="1331">
        <f>'SUM 2015'!D22</f>
        <v>1568107</v>
      </c>
      <c r="AR25" s="1366">
        <f>'SUM 2016'!D22</f>
        <v>2020588</v>
      </c>
      <c r="AS25" s="1366">
        <f>'SUM 2017'!D22</f>
        <v>2526625</v>
      </c>
      <c r="AT25" s="1450">
        <f>'SUM 2018'!D22</f>
        <v>2313432</v>
      </c>
      <c r="AU25" s="1450">
        <f>'SUM 2019'!D22</f>
        <v>2073093</v>
      </c>
      <c r="AV25" s="1450">
        <f>'SUM 2020'!D22</f>
        <v>933156</v>
      </c>
      <c r="AW25" s="1448">
        <f>'SUM 2021'!D22</f>
        <v>1015508</v>
      </c>
      <c r="AX25" s="1349">
        <f>SUM(AL25:AW25)</f>
        <v>15761541</v>
      </c>
      <c r="AY25" s="1031"/>
      <c r="AZ25" s="1031"/>
      <c r="BA25" s="1031"/>
      <c r="BB25" s="1031"/>
      <c r="BC25" s="1031"/>
      <c r="BD25" s="1023"/>
      <c r="BE25" s="1030"/>
      <c r="BF25" s="1020"/>
      <c r="BG25" s="1026"/>
      <c r="BH25" s="1022"/>
    </row>
    <row r="26" spans="1:60" s="1013" customFormat="1" ht="21" customHeight="1">
      <c r="A26" s="1120" t="s">
        <v>77</v>
      </c>
      <c r="B26" s="1321"/>
      <c r="C26" s="1121"/>
      <c r="D26" s="1122"/>
      <c r="E26" s="1123"/>
      <c r="F26" s="1122"/>
      <c r="G26" s="1124"/>
      <c r="H26" s="1124"/>
      <c r="I26" s="1124"/>
      <c r="J26" s="1124"/>
      <c r="K26" s="1124"/>
      <c r="L26" s="1124"/>
      <c r="M26" s="1124"/>
      <c r="N26" s="1124"/>
      <c r="O26" s="1124"/>
      <c r="P26" s="1124"/>
      <c r="Q26" s="1125"/>
      <c r="R26" s="1125"/>
      <c r="S26" s="1125"/>
      <c r="T26" s="1125"/>
      <c r="U26" s="1125"/>
      <c r="V26" s="1125"/>
      <c r="W26" s="1125"/>
      <c r="X26" s="1125"/>
      <c r="Y26" s="1125"/>
      <c r="Z26" s="1126"/>
      <c r="AA26" s="1125"/>
      <c r="AB26" s="1125"/>
      <c r="AC26" s="1125"/>
      <c r="AD26" s="1125"/>
      <c r="AE26" s="1125"/>
      <c r="AF26" s="1122"/>
      <c r="AG26" s="1328"/>
      <c r="AH26" s="1328"/>
      <c r="AI26" s="1328"/>
      <c r="AJ26" s="1328"/>
      <c r="AK26" s="1328"/>
      <c r="AL26" s="1328"/>
      <c r="AM26" s="1328"/>
      <c r="AN26" s="1328"/>
      <c r="AO26" s="1328"/>
      <c r="AP26" s="1328"/>
      <c r="AQ26" s="1328"/>
      <c r="AR26" s="1365"/>
      <c r="AS26" s="1365"/>
      <c r="AT26" s="1453"/>
      <c r="AU26" s="1451"/>
      <c r="AV26" s="1451"/>
      <c r="AW26" s="1422"/>
      <c r="AX26" s="1352"/>
      <c r="AY26" s="1031"/>
      <c r="AZ26" s="1023"/>
      <c r="BA26" s="1023"/>
      <c r="BB26" s="1023"/>
      <c r="BC26" s="1031"/>
      <c r="BD26" s="1023"/>
      <c r="BE26" s="1030"/>
      <c r="BF26" s="1020"/>
      <c r="BG26" s="1026"/>
      <c r="BH26" s="1022"/>
    </row>
    <row r="27" spans="1:60" s="1013" customFormat="1" ht="21" customHeight="1">
      <c r="A27" s="1120"/>
      <c r="B27" s="1321" t="s">
        <v>543</v>
      </c>
      <c r="C27" s="1121">
        <v>0</v>
      </c>
      <c r="D27" s="1122">
        <v>0</v>
      </c>
      <c r="E27" s="1123">
        <v>0</v>
      </c>
      <c r="F27" s="1122">
        <v>0</v>
      </c>
      <c r="G27" s="1124">
        <v>478428</v>
      </c>
      <c r="H27" s="1124">
        <v>717587</v>
      </c>
      <c r="I27" s="1124">
        <v>2427436</v>
      </c>
      <c r="J27" s="1124">
        <v>2440948</v>
      </c>
      <c r="K27" s="1124">
        <v>2809894</v>
      </c>
      <c r="L27" s="1124">
        <v>2528557</v>
      </c>
      <c r="M27" s="1124">
        <v>2364938</v>
      </c>
      <c r="N27" s="1124">
        <v>2447975</v>
      </c>
      <c r="O27" s="1124">
        <v>3162796</v>
      </c>
      <c r="P27" s="1124">
        <v>2983677</v>
      </c>
      <c r="Q27" s="1125">
        <v>3015185</v>
      </c>
      <c r="R27" s="1125">
        <v>3075931</v>
      </c>
      <c r="S27" s="1125">
        <v>2929899</v>
      </c>
      <c r="T27" s="1125">
        <v>3121279</v>
      </c>
      <c r="U27" s="1125">
        <v>2873946</v>
      </c>
      <c r="V27" s="1125">
        <v>2924022</v>
      </c>
      <c r="W27" s="1125">
        <v>3324110</v>
      </c>
      <c r="X27" s="1125">
        <v>3486997</v>
      </c>
      <c r="Y27" s="1125">
        <v>3522168</v>
      </c>
      <c r="Z27" s="1126">
        <v>3419598</v>
      </c>
      <c r="AA27" s="1125">
        <v>3425541</v>
      </c>
      <c r="AB27" s="1125">
        <v>3378562</v>
      </c>
      <c r="AC27" s="1125">
        <v>3293072</v>
      </c>
      <c r="AD27" s="1125">
        <f>'SUM2003'!C25</f>
        <v>3104444</v>
      </c>
      <c r="AE27" s="1125">
        <f>'SUM2004'!C25</f>
        <v>3089624</v>
      </c>
      <c r="AF27" s="1122">
        <f>'SUM2005'!C25</f>
        <v>3328840</v>
      </c>
      <c r="AG27" s="1328">
        <f>'SUM2006'!$C23</f>
        <v>3673367</v>
      </c>
      <c r="AH27" s="1328">
        <f>'SUM2007'!$D23</f>
        <v>2899523</v>
      </c>
      <c r="AI27" s="1328">
        <f>'SUM2008'!D23</f>
        <v>2014988</v>
      </c>
      <c r="AJ27" s="1328">
        <f>'SUM2009'!D23</f>
        <v>537410</v>
      </c>
      <c r="AK27" s="1328">
        <f>'SUM2010'!D21</f>
        <v>779527</v>
      </c>
      <c r="AL27" s="1328">
        <f>SUM(C27:AK27)</f>
        <v>83580269</v>
      </c>
      <c r="AM27" s="1328">
        <f>'SUM2011'!D23</f>
        <v>685063</v>
      </c>
      <c r="AN27" s="1328">
        <f>'SUM2012'!D25</f>
        <v>759991</v>
      </c>
      <c r="AO27" s="1328">
        <f>'SUM2013'!D27</f>
        <v>675503</v>
      </c>
      <c r="AP27" s="1328">
        <f>'SUM2014'!D25</f>
        <v>457579</v>
      </c>
      <c r="AQ27" s="1328">
        <f>'SUM 2015'!D25</f>
        <v>301299</v>
      </c>
      <c r="AR27" s="1365">
        <f>'SUM 2016'!D25</f>
        <v>530939</v>
      </c>
      <c r="AS27" s="1365">
        <f>'SUM 2017'!D25</f>
        <v>584779</v>
      </c>
      <c r="AT27" s="1454">
        <f>'SUM 2018'!D25</f>
        <v>1981967</v>
      </c>
      <c r="AU27" s="1450">
        <f>'SUM 2019'!D25</f>
        <v>700709</v>
      </c>
      <c r="AV27" s="1450">
        <f>'SUM 2020'!D25</f>
        <v>655269</v>
      </c>
      <c r="AW27" s="1421">
        <f>'SUM 2021'!D25</f>
        <v>473030</v>
      </c>
      <c r="AX27" s="1349">
        <f t="shared" ref="AX27:AX28" si="0">SUM(AL27:AW27)</f>
        <v>91386397</v>
      </c>
      <c r="AY27" s="1031"/>
      <c r="AZ27" s="1031"/>
      <c r="BA27" s="1031"/>
      <c r="BB27" s="1031"/>
      <c r="BC27" s="1031"/>
      <c r="BD27" s="1023"/>
      <c r="BE27" s="1030"/>
      <c r="BF27" s="1020"/>
      <c r="BG27" s="1026"/>
      <c r="BH27" s="1022"/>
    </row>
    <row r="28" spans="1:60" s="1013" customFormat="1" ht="21" customHeight="1">
      <c r="A28" s="1120"/>
      <c r="B28" s="1321" t="s">
        <v>371</v>
      </c>
      <c r="C28" s="1121"/>
      <c r="D28" s="1122"/>
      <c r="E28" s="1123"/>
      <c r="F28" s="1122"/>
      <c r="G28" s="1124"/>
      <c r="H28" s="1124"/>
      <c r="I28" s="1124"/>
      <c r="J28" s="1124"/>
      <c r="K28" s="1124"/>
      <c r="L28" s="1124"/>
      <c r="M28" s="1124"/>
      <c r="N28" s="1124"/>
      <c r="O28" s="1124"/>
      <c r="P28" s="1124"/>
      <c r="Q28" s="1125"/>
      <c r="R28" s="1125"/>
      <c r="S28" s="1125"/>
      <c r="T28" s="1125"/>
      <c r="U28" s="1125"/>
      <c r="V28" s="1125"/>
      <c r="W28" s="1125"/>
      <c r="X28" s="1125"/>
      <c r="Y28" s="1125"/>
      <c r="Z28" s="1126"/>
      <c r="AA28" s="1125"/>
      <c r="AB28" s="1125"/>
      <c r="AC28" s="1125"/>
      <c r="AD28" s="1125"/>
      <c r="AE28" s="1125"/>
      <c r="AF28" s="1122"/>
      <c r="AG28" s="1328"/>
      <c r="AH28" s="1328" t="s">
        <v>176</v>
      </c>
      <c r="AI28" s="1328">
        <f>'SUM2008'!D24</f>
        <v>1063774</v>
      </c>
      <c r="AJ28" s="1328">
        <f>'SUM2009'!D24</f>
        <v>2621475</v>
      </c>
      <c r="AK28" s="1328">
        <f>'SUM2010'!D22</f>
        <v>2516404</v>
      </c>
      <c r="AL28" s="1328">
        <f>SUM(AI28:AK28)</f>
        <v>6201653</v>
      </c>
      <c r="AM28" s="1328">
        <f>'SUM2011'!D24</f>
        <v>2519090</v>
      </c>
      <c r="AN28" s="1328">
        <f>'SUM2012'!D26</f>
        <v>2549989</v>
      </c>
      <c r="AO28" s="1328">
        <f>'SUM2013'!D28</f>
        <v>2496779</v>
      </c>
      <c r="AP28" s="1328">
        <f>'SUM2014'!D26</f>
        <v>1818292</v>
      </c>
      <c r="AQ28" s="1365">
        <f>'SUM 2015'!D26</f>
        <v>2256572</v>
      </c>
      <c r="AR28" s="1365">
        <f>'SUM 2016'!D26</f>
        <v>2245919</v>
      </c>
      <c r="AS28" s="1365">
        <f>'SUM 2017'!D26</f>
        <v>2463764</v>
      </c>
      <c r="AT28" s="1454">
        <f>'SUM 2018'!D26</f>
        <v>195081</v>
      </c>
      <c r="AU28" s="1450">
        <f>'SUM 2019'!D26</f>
        <v>0</v>
      </c>
      <c r="AV28" s="1450">
        <f>'SUM 2020'!D26</f>
        <v>0</v>
      </c>
      <c r="AW28" s="1421">
        <f>'SUM 2021'!D26</f>
        <v>0</v>
      </c>
      <c r="AX28" s="1349">
        <f t="shared" si="0"/>
        <v>22747139</v>
      </c>
      <c r="AY28" s="1031"/>
      <c r="AZ28" s="1031"/>
      <c r="BA28" s="1031"/>
      <c r="BB28" s="1031"/>
      <c r="BC28" s="1031"/>
      <c r="BD28" s="1023"/>
      <c r="BE28" s="1030"/>
      <c r="BF28" s="1020"/>
      <c r="BG28" s="1026"/>
      <c r="BH28" s="1022"/>
    </row>
    <row r="29" spans="1:60" s="1013" customFormat="1" ht="21" customHeight="1">
      <c r="A29" s="1139"/>
      <c r="B29" s="1323" t="s">
        <v>445</v>
      </c>
      <c r="C29" s="1140"/>
      <c r="D29" s="1141"/>
      <c r="E29" s="1142"/>
      <c r="F29" s="1141"/>
      <c r="G29" s="1143"/>
      <c r="H29" s="1143"/>
      <c r="I29" s="1143"/>
      <c r="J29" s="1143"/>
      <c r="K29" s="1143"/>
      <c r="L29" s="1143"/>
      <c r="M29" s="1143"/>
      <c r="N29" s="1143"/>
      <c r="O29" s="1143"/>
      <c r="P29" s="1143"/>
      <c r="Q29" s="1151"/>
      <c r="R29" s="1151"/>
      <c r="S29" s="1151"/>
      <c r="T29" s="1151"/>
      <c r="U29" s="1151"/>
      <c r="V29" s="1151"/>
      <c r="W29" s="1151"/>
      <c r="X29" s="1149" t="s">
        <v>176</v>
      </c>
      <c r="Y29" s="1149" t="s">
        <v>176</v>
      </c>
      <c r="Z29" s="1149" t="s">
        <v>176</v>
      </c>
      <c r="AA29" s="1149" t="s">
        <v>176</v>
      </c>
      <c r="AB29" s="1149" t="s">
        <v>176</v>
      </c>
      <c r="AC29" s="1149" t="s">
        <v>176</v>
      </c>
      <c r="AD29" s="1149" t="s">
        <v>176</v>
      </c>
      <c r="AE29" s="1149" t="s">
        <v>176</v>
      </c>
      <c r="AF29" s="1150" t="s">
        <v>176</v>
      </c>
      <c r="AG29" s="1335" t="s">
        <v>176</v>
      </c>
      <c r="AH29" s="1335" t="s">
        <v>176</v>
      </c>
      <c r="AI29" s="1335" t="s">
        <v>176</v>
      </c>
      <c r="AJ29" s="1335" t="s">
        <v>176</v>
      </c>
      <c r="AK29" s="1335" t="s">
        <v>176</v>
      </c>
      <c r="AL29" s="1335" t="s">
        <v>176</v>
      </c>
      <c r="AM29" s="1335" t="s">
        <v>176</v>
      </c>
      <c r="AN29" s="1335" t="s">
        <v>176</v>
      </c>
      <c r="AO29" s="1335" t="s">
        <v>176</v>
      </c>
      <c r="AP29" s="1335" t="s">
        <v>176</v>
      </c>
      <c r="AQ29" s="1335" t="s">
        <v>176</v>
      </c>
      <c r="AR29" s="1335" t="s">
        <v>176</v>
      </c>
      <c r="AS29" s="1335" t="s">
        <v>176</v>
      </c>
      <c r="AT29" s="1452">
        <f>'SUM 2018'!D27</f>
        <v>787644</v>
      </c>
      <c r="AU29" s="1452">
        <f>'SUM 2019'!D27</f>
        <v>2303071</v>
      </c>
      <c r="AV29" s="1452">
        <f>'SUM 2020'!D27</f>
        <v>1992447</v>
      </c>
      <c r="AW29" s="1841">
        <f>'SUM 2021'!D27</f>
        <v>2196647</v>
      </c>
      <c r="AX29" s="1349">
        <f>SUM(AT29:AW29)</f>
        <v>7279809</v>
      </c>
      <c r="AY29" s="1031"/>
      <c r="AZ29" s="1031"/>
      <c r="BA29" s="1031"/>
      <c r="BB29" s="1031"/>
      <c r="BC29" s="1031"/>
      <c r="BD29" s="1023"/>
      <c r="BE29" s="1030"/>
      <c r="BF29" s="1020"/>
      <c r="BG29" s="1026"/>
      <c r="BH29" s="1022"/>
    </row>
    <row r="30" spans="1:60" s="1013" customFormat="1" ht="21" customHeight="1">
      <c r="A30" s="1120" t="s">
        <v>78</v>
      </c>
      <c r="B30" s="1321"/>
      <c r="C30" s="1121"/>
      <c r="D30" s="1122"/>
      <c r="E30" s="1123"/>
      <c r="F30" s="1122"/>
      <c r="G30" s="1124"/>
      <c r="H30" s="1124"/>
      <c r="I30" s="1124"/>
      <c r="J30" s="1124"/>
      <c r="K30" s="1124"/>
      <c r="L30" s="1124"/>
      <c r="M30" s="1124"/>
      <c r="N30" s="1124"/>
      <c r="O30" s="1124"/>
      <c r="P30" s="1124"/>
      <c r="Q30" s="1125"/>
      <c r="R30" s="1125"/>
      <c r="S30" s="1125"/>
      <c r="T30" s="1125"/>
      <c r="U30" s="1125"/>
      <c r="V30" s="1125"/>
      <c r="W30" s="1125"/>
      <c r="X30" s="1125"/>
      <c r="Y30" s="1125"/>
      <c r="Z30" s="1126"/>
      <c r="AA30" s="1125"/>
      <c r="AB30" s="1125"/>
      <c r="AC30" s="1125"/>
      <c r="AD30" s="1125"/>
      <c r="AE30" s="1125"/>
      <c r="AF30" s="1122"/>
      <c r="AG30" s="1328"/>
      <c r="AH30" s="1328"/>
      <c r="AI30" s="1328"/>
      <c r="AJ30" s="1328"/>
      <c r="AK30" s="1328"/>
      <c r="AL30" s="1328"/>
      <c r="AM30" s="1328"/>
      <c r="AN30" s="1328"/>
      <c r="AO30" s="1328"/>
      <c r="AP30" s="1328"/>
      <c r="AQ30" s="1328"/>
      <c r="AR30" s="1365"/>
      <c r="AS30" s="1333"/>
      <c r="AT30" s="1450"/>
      <c r="AU30" s="1450"/>
      <c r="AV30" s="1450"/>
      <c r="AW30" s="1421"/>
      <c r="AX30" s="1352"/>
      <c r="AY30" s="1031"/>
      <c r="AZ30" s="1032"/>
      <c r="BA30" s="1032"/>
      <c r="BB30" s="1032"/>
      <c r="BC30" s="1031"/>
      <c r="BD30" s="1023"/>
      <c r="BE30" s="1030"/>
      <c r="BF30" s="1020"/>
      <c r="BG30" s="1026"/>
      <c r="BH30" s="1022"/>
    </row>
    <row r="31" spans="1:60" s="1013" customFormat="1" ht="21" customHeight="1">
      <c r="A31" s="1120"/>
      <c r="B31" s="1321" t="s">
        <v>372</v>
      </c>
      <c r="C31" s="1121">
        <v>0</v>
      </c>
      <c r="D31" s="1122">
        <v>0</v>
      </c>
      <c r="E31" s="1123">
        <v>0</v>
      </c>
      <c r="F31" s="1122">
        <v>0</v>
      </c>
      <c r="G31" s="1124">
        <v>0</v>
      </c>
      <c r="H31" s="1124">
        <v>0</v>
      </c>
      <c r="I31" s="1124">
        <v>246223</v>
      </c>
      <c r="J31" s="1124">
        <v>2277121</v>
      </c>
      <c r="K31" s="1124">
        <v>3067787</v>
      </c>
      <c r="L31" s="1124">
        <v>2883158</v>
      </c>
      <c r="M31" s="1124">
        <v>2963000</v>
      </c>
      <c r="N31" s="1124">
        <v>3372000</v>
      </c>
      <c r="O31" s="1124">
        <v>3360021</v>
      </c>
      <c r="P31" s="1124">
        <v>3670998</v>
      </c>
      <c r="Q31" s="1125">
        <v>3513000</v>
      </c>
      <c r="R31" s="1125">
        <v>3511588</v>
      </c>
      <c r="S31" s="1125">
        <v>1566278</v>
      </c>
      <c r="T31" s="1125">
        <v>0</v>
      </c>
      <c r="U31" s="1125">
        <v>0</v>
      </c>
      <c r="V31" s="1125">
        <v>0</v>
      </c>
      <c r="W31" s="1125">
        <v>0</v>
      </c>
      <c r="X31" s="1125">
        <v>0</v>
      </c>
      <c r="Y31" s="1125">
        <v>0</v>
      </c>
      <c r="Z31" s="1126">
        <v>0</v>
      </c>
      <c r="AA31" s="1125">
        <v>0</v>
      </c>
      <c r="AB31" s="1125">
        <v>0</v>
      </c>
      <c r="AC31" s="1125">
        <v>0</v>
      </c>
      <c r="AD31" s="1125">
        <v>0</v>
      </c>
      <c r="AE31" s="1125">
        <f>'SUM2004'!C27</f>
        <v>0</v>
      </c>
      <c r="AF31" s="1122">
        <f>'SUM2005'!C27</f>
        <v>0</v>
      </c>
      <c r="AG31" s="1328">
        <f>'SUM2006'!$C25</f>
        <v>0</v>
      </c>
      <c r="AH31" s="1328">
        <f>'SUM2007'!$D25</f>
        <v>0</v>
      </c>
      <c r="AI31" s="1328">
        <f>'SUM2008'!D27</f>
        <v>0</v>
      </c>
      <c r="AJ31" s="1328">
        <f>'SUM2009'!D27</f>
        <v>0</v>
      </c>
      <c r="AK31" s="1328">
        <f>'SUM2010'!D25</f>
        <v>0</v>
      </c>
      <c r="AL31" s="1328">
        <f>SUM(I31:S31)</f>
        <v>30431174</v>
      </c>
      <c r="AM31" s="1328">
        <f>'SUM2011'!D27</f>
        <v>0</v>
      </c>
      <c r="AN31" s="1328">
        <f>'SUM2012'!D29</f>
        <v>0</v>
      </c>
      <c r="AO31" s="1328">
        <f>'SUM2013'!D31</f>
        <v>0</v>
      </c>
      <c r="AP31" s="1328">
        <v>0</v>
      </c>
      <c r="AQ31" s="1328">
        <f>'SUM 2015'!D29</f>
        <v>0</v>
      </c>
      <c r="AR31" s="1365">
        <f>'SUM 2016'!D28</f>
        <v>0</v>
      </c>
      <c r="AS31" s="1365">
        <f>'SUM 2017'!D29</f>
        <v>0</v>
      </c>
      <c r="AT31" s="1450">
        <f>'SUM 2018'!D30</f>
        <v>0</v>
      </c>
      <c r="AU31" s="1450">
        <f>'SUM 2019'!D30</f>
        <v>0</v>
      </c>
      <c r="AV31" s="1450">
        <f>'SUM 2020'!D30</f>
        <v>0</v>
      </c>
      <c r="AW31" s="1421">
        <f>'SUM 2021'!D30</f>
        <v>0</v>
      </c>
      <c r="AX31" s="1355">
        <f>SUM(AL31:AW31)</f>
        <v>30431174</v>
      </c>
      <c r="AY31" s="1031"/>
      <c r="AZ31" s="1032"/>
      <c r="BA31" s="1032"/>
      <c r="BB31" s="1032"/>
      <c r="BC31" s="1031"/>
      <c r="BD31" s="1023"/>
      <c r="BE31" s="1030"/>
      <c r="BF31" s="1020"/>
      <c r="BG31" s="1026"/>
      <c r="BH31" s="1022"/>
    </row>
    <row r="32" spans="1:60" s="1013" customFormat="1" ht="21" customHeight="1">
      <c r="A32" s="1139"/>
      <c r="B32" s="1323" t="s">
        <v>373</v>
      </c>
      <c r="C32" s="1140">
        <v>0</v>
      </c>
      <c r="D32" s="1141">
        <v>0</v>
      </c>
      <c r="E32" s="1142">
        <v>0</v>
      </c>
      <c r="F32" s="1141">
        <v>0</v>
      </c>
      <c r="G32" s="1143">
        <v>0</v>
      </c>
      <c r="H32" s="1143">
        <v>0</v>
      </c>
      <c r="I32" s="1143">
        <v>0</v>
      </c>
      <c r="J32" s="1143">
        <v>0</v>
      </c>
      <c r="K32" s="1143">
        <v>0</v>
      </c>
      <c r="L32" s="1143">
        <v>0</v>
      </c>
      <c r="M32" s="1143">
        <v>0</v>
      </c>
      <c r="N32" s="1143">
        <v>0</v>
      </c>
      <c r="O32" s="1143">
        <v>0</v>
      </c>
      <c r="P32" s="1143">
        <v>0</v>
      </c>
      <c r="Q32" s="1149" t="s">
        <v>176</v>
      </c>
      <c r="R32" s="1149" t="s">
        <v>176</v>
      </c>
      <c r="S32" s="1151">
        <v>1759003</v>
      </c>
      <c r="T32" s="1151">
        <v>3541201</v>
      </c>
      <c r="U32" s="1151">
        <v>3560529</v>
      </c>
      <c r="V32" s="1151">
        <v>3228582</v>
      </c>
      <c r="W32" s="1151">
        <v>458296</v>
      </c>
      <c r="X32" s="1151">
        <v>0</v>
      </c>
      <c r="Y32" s="1151">
        <v>0</v>
      </c>
      <c r="Z32" s="1152">
        <v>0</v>
      </c>
      <c r="AA32" s="1151">
        <v>0</v>
      </c>
      <c r="AB32" s="1151">
        <v>0</v>
      </c>
      <c r="AC32" s="1151">
        <v>0</v>
      </c>
      <c r="AD32" s="1151">
        <v>0</v>
      </c>
      <c r="AE32" s="1151">
        <f>'SUM2004'!C28</f>
        <v>0</v>
      </c>
      <c r="AF32" s="1122">
        <f>'SUM2005'!C28</f>
        <v>0</v>
      </c>
      <c r="AG32" s="1331">
        <f>'SUM2006'!$C26</f>
        <v>0</v>
      </c>
      <c r="AH32" s="1331">
        <f>'SUM2007'!$D26</f>
        <v>0</v>
      </c>
      <c r="AI32" s="1331">
        <f>'SUM2008'!D28</f>
        <v>0</v>
      </c>
      <c r="AJ32" s="1331">
        <f>'SUM2009'!D28</f>
        <v>0</v>
      </c>
      <c r="AK32" s="1331">
        <f>'SUM2010'!D26</f>
        <v>0</v>
      </c>
      <c r="AL32" s="1331">
        <f>SUM(S32:W32)</f>
        <v>12547611</v>
      </c>
      <c r="AM32" s="1331">
        <f>'SUM2011'!D28</f>
        <v>0</v>
      </c>
      <c r="AN32" s="1331">
        <f>'SUM2012'!D30</f>
        <v>0</v>
      </c>
      <c r="AO32" s="1331">
        <f>'SUM2013'!D32</f>
        <v>0</v>
      </c>
      <c r="AP32" s="1331">
        <v>0</v>
      </c>
      <c r="AQ32" s="1331">
        <f>'SUM 2015'!D30</f>
        <v>0</v>
      </c>
      <c r="AR32" s="1366">
        <f>'SUM 2016'!D29</f>
        <v>0</v>
      </c>
      <c r="AS32" s="1366">
        <f>'SUM 2017'!D30</f>
        <v>0</v>
      </c>
      <c r="AT32" s="1450">
        <f>'SUM 2018'!D31</f>
        <v>0</v>
      </c>
      <c r="AU32" s="1450">
        <f>'SUM 2019'!D31</f>
        <v>0</v>
      </c>
      <c r="AV32" s="1450">
        <f>'SUM 2020'!D31</f>
        <v>0</v>
      </c>
      <c r="AW32" s="1421">
        <f>'SUM 2021'!D31</f>
        <v>0</v>
      </c>
      <c r="AX32" s="1355">
        <f>SUM(AL32:AW32)</f>
        <v>12547611</v>
      </c>
      <c r="AY32" s="1031"/>
      <c r="AZ32" s="1032"/>
      <c r="BA32" s="1032"/>
      <c r="BB32" s="1032"/>
      <c r="BC32" s="1031"/>
      <c r="BD32" s="1023"/>
      <c r="BE32" s="1030"/>
      <c r="BF32" s="1020"/>
      <c r="BG32" s="1026"/>
      <c r="BH32" s="1022"/>
    </row>
    <row r="33" spans="1:62" s="1013" customFormat="1" ht="21" customHeight="1">
      <c r="A33" s="1127" t="s">
        <v>219</v>
      </c>
      <c r="B33" s="1322"/>
      <c r="C33" s="1128"/>
      <c r="D33" s="1129"/>
      <c r="E33" s="1130"/>
      <c r="F33" s="1129"/>
      <c r="G33" s="1131"/>
      <c r="H33" s="1131"/>
      <c r="I33" s="1131"/>
      <c r="J33" s="1131"/>
      <c r="K33" s="1131"/>
      <c r="L33" s="1131"/>
      <c r="M33" s="1131"/>
      <c r="N33" s="1131"/>
      <c r="O33" s="1131"/>
      <c r="P33" s="1131"/>
      <c r="Q33" s="1147"/>
      <c r="R33" s="1147"/>
      <c r="S33" s="1147"/>
      <c r="T33" s="1147"/>
      <c r="U33" s="1147"/>
      <c r="V33" s="1147"/>
      <c r="W33" s="1147"/>
      <c r="X33" s="1147"/>
      <c r="Y33" s="1147"/>
      <c r="Z33" s="1148"/>
      <c r="AA33" s="1147"/>
      <c r="AB33" s="1176"/>
      <c r="AC33" s="1176"/>
      <c r="AD33" s="1147"/>
      <c r="AE33" s="1147"/>
      <c r="AF33" s="1129"/>
      <c r="AG33" s="1328"/>
      <c r="AH33" s="1328"/>
      <c r="AI33" s="1328"/>
      <c r="AJ33" s="1328"/>
      <c r="AK33" s="1328"/>
      <c r="AL33" s="1328"/>
      <c r="AM33" s="1328"/>
      <c r="AN33" s="1328"/>
      <c r="AO33" s="1328"/>
      <c r="AP33" s="1328"/>
      <c r="AQ33" s="1328"/>
      <c r="AR33" s="1365"/>
      <c r="AS33" s="1365"/>
      <c r="AT33" s="1453"/>
      <c r="AU33" s="1451"/>
      <c r="AV33" s="1451"/>
      <c r="AW33" s="1422"/>
      <c r="AX33" s="1356"/>
      <c r="AY33" s="1031"/>
      <c r="AZ33" s="1032"/>
      <c r="BA33" s="1032"/>
      <c r="BB33" s="1032"/>
      <c r="BC33" s="1031"/>
      <c r="BD33" s="1023"/>
      <c r="BE33" s="1030"/>
      <c r="BF33" s="1020"/>
      <c r="BG33" s="1026"/>
      <c r="BH33" s="1022"/>
      <c r="BI33" s="1025"/>
      <c r="BJ33" s="1031"/>
    </row>
    <row r="34" spans="1:62" s="1013" customFormat="1" ht="21" customHeight="1">
      <c r="A34" s="1120"/>
      <c r="B34" s="1321" t="s">
        <v>374</v>
      </c>
      <c r="C34" s="1121">
        <v>5300672</v>
      </c>
      <c r="D34" s="1122">
        <v>5288041</v>
      </c>
      <c r="E34" s="1123">
        <v>5298285</v>
      </c>
      <c r="F34" s="1122">
        <v>5087768</v>
      </c>
      <c r="G34" s="1124">
        <v>5498170</v>
      </c>
      <c r="H34" s="1124">
        <v>5908910</v>
      </c>
      <c r="I34" s="1124">
        <v>6019187</v>
      </c>
      <c r="J34" s="1124">
        <v>5785432</v>
      </c>
      <c r="K34" s="1124">
        <v>5879462</v>
      </c>
      <c r="L34" s="1124">
        <v>4980121</v>
      </c>
      <c r="M34" s="1124">
        <v>5175816</v>
      </c>
      <c r="N34" s="1124">
        <v>5217328</v>
      </c>
      <c r="O34" s="1124">
        <v>5847197</v>
      </c>
      <c r="P34" s="1124">
        <v>5669905</v>
      </c>
      <c r="Q34" s="1125">
        <v>5328384</v>
      </c>
      <c r="R34" s="1125">
        <v>5364699</v>
      </c>
      <c r="S34" s="1125">
        <v>5252735</v>
      </c>
      <c r="T34" s="1125">
        <v>5126860</v>
      </c>
      <c r="U34" s="1125">
        <v>5195163</v>
      </c>
      <c r="V34" s="1125">
        <v>5023529</v>
      </c>
      <c r="W34" s="1125">
        <v>5180558</v>
      </c>
      <c r="X34" s="1125">
        <f>4962566+91</f>
        <v>4962657</v>
      </c>
      <c r="Y34" s="1125">
        <v>4926084</v>
      </c>
      <c r="Z34" s="1126">
        <v>5036675</v>
      </c>
      <c r="AA34" s="1125">
        <v>3020278</v>
      </c>
      <c r="AB34" s="1125">
        <v>3960046</v>
      </c>
      <c r="AC34" s="1125">
        <v>4166991</v>
      </c>
      <c r="AD34" s="1125">
        <f>'SUM2003'!C31</f>
        <v>4475369</v>
      </c>
      <c r="AE34" s="1125">
        <f>'SUM2004'!C31</f>
        <v>4382006</v>
      </c>
      <c r="AF34" s="1126">
        <f>'SUM2005'!C31</f>
        <v>4310335</v>
      </c>
      <c r="AG34" s="1328">
        <f>'SUM2006'!$C29</f>
        <v>4504525</v>
      </c>
      <c r="AH34" s="1328">
        <f>'SUM2007'!$D29</f>
        <v>3515809</v>
      </c>
      <c r="AI34" s="1328">
        <f>'SUM2008'!D31</f>
        <v>3608723</v>
      </c>
      <c r="AJ34" s="1328">
        <f>'SUM2009'!D31</f>
        <v>3269696</v>
      </c>
      <c r="AK34" s="1328">
        <f>'SUM2010'!D29</f>
        <v>2619457</v>
      </c>
      <c r="AL34" s="1328">
        <f t="shared" ref="AL34:AL41" si="1">SUM(C34:AK34)</f>
        <v>170186873</v>
      </c>
      <c r="AM34" s="1328">
        <f>'SUM2011'!D31</f>
        <v>969081</v>
      </c>
      <c r="AN34" s="1328">
        <f>'SUM2012'!D33</f>
        <v>0</v>
      </c>
      <c r="AO34" s="1328">
        <f>'SUM2013'!D35</f>
        <v>0</v>
      </c>
      <c r="AP34" s="1328">
        <f>'SUM2014'!D33</f>
        <v>0</v>
      </c>
      <c r="AQ34" s="1328">
        <f>'SUM 2015'!D33</f>
        <v>0</v>
      </c>
      <c r="AR34" s="1365">
        <f>'SUM 2016'!D33</f>
        <v>0</v>
      </c>
      <c r="AS34" s="1365">
        <f>'SUM 2017'!D33</f>
        <v>0</v>
      </c>
      <c r="AT34" s="1454">
        <f>'SUM 2018'!D34</f>
        <v>0</v>
      </c>
      <c r="AU34" s="1450">
        <f>'SUM 2019'!D34</f>
        <v>0</v>
      </c>
      <c r="AV34" s="1450">
        <f>'SUM 2020'!D34</f>
        <v>0</v>
      </c>
      <c r="AW34" s="1421">
        <f>'SUM 2021'!D34</f>
        <v>0</v>
      </c>
      <c r="AX34" s="1355">
        <f>SUM(AL34:AM34)</f>
        <v>171155954</v>
      </c>
      <c r="AY34" s="1031"/>
      <c r="AZ34" s="1031"/>
      <c r="BA34" s="1031"/>
      <c r="BB34" s="1031"/>
      <c r="BC34" s="1031"/>
      <c r="BD34" s="1023"/>
      <c r="BE34" s="1030"/>
      <c r="BF34" s="1020"/>
      <c r="BG34" s="1026"/>
      <c r="BH34" s="1022"/>
    </row>
    <row r="35" spans="1:62" s="1013" customFormat="1" ht="21" customHeight="1">
      <c r="A35" s="1120"/>
      <c r="B35" s="1321" t="s">
        <v>393</v>
      </c>
      <c r="C35" s="1121">
        <v>40202</v>
      </c>
      <c r="D35" s="1122">
        <v>3147693</v>
      </c>
      <c r="E35" s="1123">
        <v>5971750</v>
      </c>
      <c r="F35" s="1122">
        <v>10604000</v>
      </c>
      <c r="G35" s="1124">
        <v>10823664</v>
      </c>
      <c r="H35" s="1124">
        <v>9922390</v>
      </c>
      <c r="I35" s="1124">
        <v>11304691</v>
      </c>
      <c r="J35" s="1124">
        <v>11629787</v>
      </c>
      <c r="K35" s="1124">
        <v>11524714</v>
      </c>
      <c r="L35" s="1124">
        <v>12299469</v>
      </c>
      <c r="M35" s="1124">
        <v>10911270</v>
      </c>
      <c r="N35" s="1124">
        <v>7840894</v>
      </c>
      <c r="O35" s="1124">
        <v>8967751</v>
      </c>
      <c r="P35" s="1124">
        <v>8553757</v>
      </c>
      <c r="Q35" s="1125">
        <v>10393014</v>
      </c>
      <c r="R35" s="1125">
        <v>10468213</v>
      </c>
      <c r="S35" s="1125">
        <v>10638535</v>
      </c>
      <c r="T35" s="1125">
        <v>9123251</v>
      </c>
      <c r="U35" s="1125">
        <v>7714733</v>
      </c>
      <c r="V35" s="1125">
        <v>7311000</v>
      </c>
      <c r="W35" s="1125">
        <v>6372792</v>
      </c>
      <c r="X35" s="1125">
        <v>7180099</v>
      </c>
      <c r="Y35" s="1125">
        <v>8503667</v>
      </c>
      <c r="Z35" s="1126">
        <v>7482962</v>
      </c>
      <c r="AA35" s="1125">
        <v>6099198</v>
      </c>
      <c r="AB35" s="1125">
        <v>6428180</v>
      </c>
      <c r="AC35" s="1125">
        <v>7144994</v>
      </c>
      <c r="AD35" s="1125">
        <f>'SUM2003'!C32</f>
        <v>7785235</v>
      </c>
      <c r="AE35" s="1125">
        <f>'SUM2004'!C32</f>
        <v>7008675</v>
      </c>
      <c r="AF35" s="1126">
        <f>'SUM2005'!C32</f>
        <v>7622767</v>
      </c>
      <c r="AG35" s="1328">
        <f>'SUM2006'!$C30</f>
        <v>7419598</v>
      </c>
      <c r="AH35" s="1328">
        <f>'SUM2007'!$D30</f>
        <v>7677112</v>
      </c>
      <c r="AI35" s="1328">
        <f>'SUM2008'!D32</f>
        <v>7146063</v>
      </c>
      <c r="AJ35" s="1328">
        <f>'SUM2009'!D32</f>
        <v>5319321</v>
      </c>
      <c r="AK35" s="1328">
        <f>'SUM2010'!D30</f>
        <v>5546567</v>
      </c>
      <c r="AL35" s="1328">
        <f t="shared" si="1"/>
        <v>283928008</v>
      </c>
      <c r="AM35" s="1328">
        <f>'SUM2011'!D32</f>
        <v>5626489</v>
      </c>
      <c r="AN35" s="1328">
        <f>'SUM2012'!D34</f>
        <v>5305315</v>
      </c>
      <c r="AO35" s="1328">
        <f>'SUM2013'!D36</f>
        <v>4416772</v>
      </c>
      <c r="AP35" s="1328">
        <f>'SUM2014'!D34</f>
        <v>4668476</v>
      </c>
      <c r="AQ35" s="1328">
        <f>'SUM 2015'!D34</f>
        <v>3400533</v>
      </c>
      <c r="AR35" s="1365">
        <f>'SUM 2016'!D34</f>
        <v>2864517</v>
      </c>
      <c r="AS35" s="1365">
        <f>'SUM 2017'!D34</f>
        <v>2344708</v>
      </c>
      <c r="AT35" s="1454">
        <f>'SUM 2018'!D35</f>
        <v>2471147</v>
      </c>
      <c r="AU35" s="1450">
        <f>'SUM 2019'!D35</f>
        <v>924947</v>
      </c>
      <c r="AV35" s="1450">
        <f>'SUM 2020'!D35</f>
        <v>0</v>
      </c>
      <c r="AW35" s="1421">
        <f>'SUM 2021'!D35</f>
        <v>0</v>
      </c>
      <c r="AX35" s="1355">
        <f>SUM(AL35:AU35)</f>
        <v>315950912</v>
      </c>
      <c r="AY35" s="1031"/>
      <c r="AZ35" s="1031"/>
      <c r="BA35" s="1031"/>
      <c r="BB35" s="1031"/>
      <c r="BC35" s="1031"/>
      <c r="BD35" s="1023"/>
      <c r="BE35" s="1030"/>
      <c r="BF35" s="1020"/>
      <c r="BG35" s="1026"/>
      <c r="BH35" s="1022"/>
      <c r="BJ35" s="1022"/>
    </row>
    <row r="36" spans="1:62" s="1013" customFormat="1" ht="21" customHeight="1">
      <c r="A36" s="1120"/>
      <c r="B36" s="1321" t="s">
        <v>375</v>
      </c>
      <c r="C36" s="1121">
        <v>0</v>
      </c>
      <c r="D36" s="1122">
        <v>0</v>
      </c>
      <c r="E36" s="1123">
        <v>0</v>
      </c>
      <c r="F36" s="1122">
        <v>0</v>
      </c>
      <c r="G36" s="1124">
        <v>0</v>
      </c>
      <c r="H36" s="1124">
        <v>0</v>
      </c>
      <c r="I36" s="1124">
        <v>0</v>
      </c>
      <c r="J36" s="1124">
        <v>0</v>
      </c>
      <c r="K36" s="1124">
        <v>0</v>
      </c>
      <c r="L36" s="1124">
        <v>0</v>
      </c>
      <c r="M36" s="1124">
        <v>1665409</v>
      </c>
      <c r="N36" s="1124">
        <v>4361634</v>
      </c>
      <c r="O36" s="1124">
        <v>3493540</v>
      </c>
      <c r="P36" s="1124">
        <v>3928452</v>
      </c>
      <c r="Q36" s="1125">
        <v>2756016</v>
      </c>
      <c r="R36" s="1125">
        <v>2363196</v>
      </c>
      <c r="S36" s="1125">
        <v>3191140</v>
      </c>
      <c r="T36" s="1125">
        <v>4139252</v>
      </c>
      <c r="U36" s="1125">
        <v>4872259</v>
      </c>
      <c r="V36" s="1125">
        <v>5407000</v>
      </c>
      <c r="W36" s="1125">
        <v>5407000</v>
      </c>
      <c r="X36" s="1125">
        <f>5853200+196</f>
        <v>5853396</v>
      </c>
      <c r="Y36" s="1125">
        <v>5304417</v>
      </c>
      <c r="Z36" s="1126">
        <v>6122628</v>
      </c>
      <c r="AA36" s="1125">
        <v>6882153</v>
      </c>
      <c r="AB36" s="1125">
        <v>5300218</v>
      </c>
      <c r="AC36" s="1125">
        <v>4096369</v>
      </c>
      <c r="AD36" s="1125">
        <f>'SUM2003'!C33</f>
        <v>5085674</v>
      </c>
      <c r="AE36" s="1125">
        <f>'SUM2004'!C33</f>
        <v>5558756</v>
      </c>
      <c r="AF36" s="1126">
        <f>'SUM2005'!C33</f>
        <v>6630811</v>
      </c>
      <c r="AG36" s="1328">
        <f>'SUM2006'!$C31</f>
        <v>4973475</v>
      </c>
      <c r="AH36" s="1328">
        <f>'SUM2007'!$D31</f>
        <v>3761434</v>
      </c>
      <c r="AI36" s="1328">
        <f>'SUM2008'!D33</f>
        <v>4311076</v>
      </c>
      <c r="AJ36" s="1328">
        <f>'SUM2009'!D33</f>
        <v>4976297</v>
      </c>
      <c r="AK36" s="1328">
        <f>'SUM2010'!D31</f>
        <v>2977555</v>
      </c>
      <c r="AL36" s="1328">
        <f t="shared" si="1"/>
        <v>113419157</v>
      </c>
      <c r="AM36" s="1328">
        <f>'SUM2011'!D33</f>
        <v>3087308</v>
      </c>
      <c r="AN36" s="1328">
        <f>'SUM2012'!D35</f>
        <v>3255563</v>
      </c>
      <c r="AO36" s="1328">
        <f>'SUM2013'!D37</f>
        <v>3528785</v>
      </c>
      <c r="AP36" s="1328">
        <f>'SUM2014'!D35</f>
        <v>3082822</v>
      </c>
      <c r="AQ36" s="1328">
        <f>'SUM 2015'!D35</f>
        <v>2203582</v>
      </c>
      <c r="AR36" s="1365">
        <f>'SUM 2016'!D35</f>
        <v>1186697</v>
      </c>
      <c r="AS36" s="1365">
        <f>'SUM 2017'!D35</f>
        <v>0</v>
      </c>
      <c r="AT36" s="1454">
        <f>'SUM 2018'!D36</f>
        <v>0</v>
      </c>
      <c r="AU36" s="1450">
        <f>'SUM 2019'!D36</f>
        <v>0</v>
      </c>
      <c r="AV36" s="1450">
        <f>'SUM 2020'!D36</f>
        <v>0</v>
      </c>
      <c r="AW36" s="1421">
        <f>'SUM 2021'!D36</f>
        <v>0</v>
      </c>
      <c r="AX36" s="1355">
        <f>SUM(AL36:AR36)</f>
        <v>129763914</v>
      </c>
      <c r="AY36" s="1031"/>
      <c r="AZ36" s="1031"/>
      <c r="BA36" s="1031"/>
      <c r="BB36" s="1031"/>
      <c r="BC36" s="1031"/>
      <c r="BD36" s="1023"/>
      <c r="BE36" s="1030"/>
      <c r="BF36" s="1020"/>
      <c r="BG36" s="1026"/>
      <c r="BH36" s="1022"/>
    </row>
    <row r="37" spans="1:62" s="1013" customFormat="1" ht="21" customHeight="1">
      <c r="A37" s="1120"/>
      <c r="B37" s="1321" t="s">
        <v>376</v>
      </c>
      <c r="C37" s="1121">
        <v>6602335</v>
      </c>
      <c r="D37" s="1122">
        <v>6229307</v>
      </c>
      <c r="E37" s="1123">
        <v>10966468</v>
      </c>
      <c r="F37" s="1122">
        <v>11899000</v>
      </c>
      <c r="G37" s="1124">
        <v>10668278</v>
      </c>
      <c r="H37" s="1124">
        <v>12052339</v>
      </c>
      <c r="I37" s="1124">
        <v>9777315</v>
      </c>
      <c r="J37" s="1124">
        <v>11361054</v>
      </c>
      <c r="K37" s="1124">
        <v>11796620</v>
      </c>
      <c r="L37" s="1124">
        <v>11990354</v>
      </c>
      <c r="M37" s="1124">
        <v>12168463</v>
      </c>
      <c r="N37" s="1124">
        <v>10969885</v>
      </c>
      <c r="O37" s="1124">
        <v>10760806</v>
      </c>
      <c r="P37" s="1124">
        <v>11764456</v>
      </c>
      <c r="Q37" s="1125">
        <v>10053427</v>
      </c>
      <c r="R37" s="1125">
        <v>8770696</v>
      </c>
      <c r="S37" s="1125">
        <v>8328526</v>
      </c>
      <c r="T37" s="1125">
        <v>8338089</v>
      </c>
      <c r="U37" s="1125">
        <v>6092784</v>
      </c>
      <c r="V37" s="1125">
        <v>7497852</v>
      </c>
      <c r="W37" s="1125">
        <v>10522217</v>
      </c>
      <c r="X37" s="1125">
        <f>5074658+2764350</f>
        <v>7839008</v>
      </c>
      <c r="Y37" s="1125">
        <v>7839840</v>
      </c>
      <c r="Z37" s="1126">
        <v>7860190</v>
      </c>
      <c r="AA37" s="1125">
        <v>5914785</v>
      </c>
      <c r="AB37" s="1125">
        <v>5385612</v>
      </c>
      <c r="AC37" s="1125">
        <v>5315184</v>
      </c>
      <c r="AD37" s="1125">
        <f>'SUM2003'!C34</f>
        <v>5056363</v>
      </c>
      <c r="AE37" s="1125">
        <f>'SUM2004'!C34</f>
        <v>4010504</v>
      </c>
      <c r="AF37" s="1126">
        <f>'SUM2005'!C34</f>
        <v>3169665</v>
      </c>
      <c r="AG37" s="1328">
        <f>'SUM2006'!$C32</f>
        <v>3592661</v>
      </c>
      <c r="AH37" s="1328">
        <f>'SUM2007'!$D32</f>
        <v>3502720</v>
      </c>
      <c r="AI37" s="1328">
        <f>'SUM2008'!D34</f>
        <v>3019319</v>
      </c>
      <c r="AJ37" s="1328">
        <f>'SUM2009'!D34</f>
        <v>739879</v>
      </c>
      <c r="AK37" s="1328">
        <f>'SUM2010'!D32</f>
        <v>748921</v>
      </c>
      <c r="AL37" s="1328">
        <f t="shared" si="1"/>
        <v>272604922</v>
      </c>
      <c r="AM37" s="1328">
        <f>'SUM2011'!D34</f>
        <v>1373844</v>
      </c>
      <c r="AN37" s="1328">
        <f>'SUM2012'!D36</f>
        <v>1642016</v>
      </c>
      <c r="AO37" s="1328">
        <f>'SUM2013'!D38</f>
        <v>709648</v>
      </c>
      <c r="AP37" s="1328">
        <f>'SUM2014'!D36</f>
        <v>667328</v>
      </c>
      <c r="AQ37" s="1328">
        <f>'SUM 2015'!D36</f>
        <v>52186</v>
      </c>
      <c r="AR37" s="1365">
        <f>'SUM 2016'!D36</f>
        <v>0</v>
      </c>
      <c r="AS37" s="1334">
        <f>'SUM 2017'!D36</f>
        <v>0</v>
      </c>
      <c r="AT37" s="1455">
        <f>'SUM 2018'!D37</f>
        <v>0</v>
      </c>
      <c r="AU37" s="1629">
        <f>'SUM 2019'!D37</f>
        <v>0</v>
      </c>
      <c r="AV37" s="1629">
        <f>'SUM 2020'!D37</f>
        <v>0</v>
      </c>
      <c r="AW37" s="1447">
        <f>'SUM 2021'!D37</f>
        <v>0</v>
      </c>
      <c r="AX37" s="1355">
        <f>SUM(AL37:AQ37)</f>
        <v>277049944</v>
      </c>
      <c r="AY37" s="1031"/>
      <c r="AZ37" s="1023"/>
      <c r="BA37" s="1023"/>
      <c r="BB37" s="1023"/>
      <c r="BC37" s="1031"/>
      <c r="BD37" s="1023"/>
      <c r="BE37" s="1030"/>
      <c r="BF37" s="1020"/>
      <c r="BG37" s="1026"/>
      <c r="BH37" s="1022"/>
    </row>
    <row r="38" spans="1:62" s="1013" customFormat="1" ht="21" customHeight="1">
      <c r="A38" s="1120"/>
      <c r="B38" s="1321" t="s">
        <v>377</v>
      </c>
      <c r="C38" s="1121">
        <v>0</v>
      </c>
      <c r="D38" s="1122">
        <v>0</v>
      </c>
      <c r="E38" s="1123">
        <v>0</v>
      </c>
      <c r="F38" s="1122">
        <v>0</v>
      </c>
      <c r="G38" s="1124">
        <v>0</v>
      </c>
      <c r="H38" s="1124">
        <v>0</v>
      </c>
      <c r="I38" s="1124">
        <v>0</v>
      </c>
      <c r="J38" s="1124">
        <v>0</v>
      </c>
      <c r="K38" s="1124">
        <v>0</v>
      </c>
      <c r="L38" s="1124">
        <v>0</v>
      </c>
      <c r="M38" s="1124">
        <v>0</v>
      </c>
      <c r="N38" s="1124">
        <v>0</v>
      </c>
      <c r="O38" s="1124">
        <v>0</v>
      </c>
      <c r="P38" s="1124">
        <v>0</v>
      </c>
      <c r="Q38" s="1125">
        <v>2059302</v>
      </c>
      <c r="R38" s="1125">
        <v>1872898</v>
      </c>
      <c r="S38" s="1125">
        <v>2470000</v>
      </c>
      <c r="T38" s="1125">
        <v>2356384</v>
      </c>
      <c r="U38" s="1125">
        <v>0</v>
      </c>
      <c r="V38" s="1125">
        <v>1161472</v>
      </c>
      <c r="W38" s="1125">
        <v>0</v>
      </c>
      <c r="X38" s="1125">
        <v>2194885</v>
      </c>
      <c r="Y38" s="1125">
        <v>2286747</v>
      </c>
      <c r="Z38" s="1126">
        <v>2138416</v>
      </c>
      <c r="AA38" s="1125">
        <v>2121551</v>
      </c>
      <c r="AB38" s="1125">
        <v>2202098</v>
      </c>
      <c r="AC38" s="1125">
        <v>2279902</v>
      </c>
      <c r="AD38" s="1125">
        <f>'SUM2003'!C35</f>
        <v>2493616</v>
      </c>
      <c r="AE38" s="1125">
        <f>'SUM2004'!C35</f>
        <v>2616805</v>
      </c>
      <c r="AF38" s="1126">
        <f>'SUM2005'!C35</f>
        <v>2599324</v>
      </c>
      <c r="AG38" s="1328">
        <f>'SUM2006'!$C33</f>
        <v>2470315</v>
      </c>
      <c r="AH38" s="1328">
        <f>'SUM2007'!$D33</f>
        <v>2090370</v>
      </c>
      <c r="AI38" s="1328">
        <f>'SUM2008'!D35</f>
        <v>1764648</v>
      </c>
      <c r="AJ38" s="1328">
        <f>'SUM2009'!D35</f>
        <v>1801040</v>
      </c>
      <c r="AK38" s="1328">
        <f>'SUM2010'!D33</f>
        <v>1811838</v>
      </c>
      <c r="AL38" s="1328">
        <f t="shared" si="1"/>
        <v>40791611</v>
      </c>
      <c r="AM38" s="1328">
        <f>'SUM2011'!D35</f>
        <v>1338548</v>
      </c>
      <c r="AN38" s="1328">
        <f>'SUM2012'!D37</f>
        <v>719561</v>
      </c>
      <c r="AO38" s="1328">
        <f>'SUM2013'!D39</f>
        <v>0</v>
      </c>
      <c r="AP38" s="1334">
        <f>'SUM2014'!D37</f>
        <v>0</v>
      </c>
      <c r="AQ38" s="1328">
        <f>'SUM 2015'!D37</f>
        <v>0</v>
      </c>
      <c r="AR38" s="1365">
        <f>'SUM 2016'!D37</f>
        <v>0</v>
      </c>
      <c r="AS38" s="1334">
        <f>'SUM 2017'!D37</f>
        <v>0</v>
      </c>
      <c r="AT38" s="1455">
        <f>'SUM 2018'!D38</f>
        <v>0</v>
      </c>
      <c r="AU38" s="1629">
        <f>'SUM 2019'!D38</f>
        <v>0</v>
      </c>
      <c r="AV38" s="1629">
        <f>'SUM 2020'!D38</f>
        <v>0</v>
      </c>
      <c r="AW38" s="1447">
        <f>'SUM 2021'!D38</f>
        <v>0</v>
      </c>
      <c r="AX38" s="1355">
        <f>SUM(AL38:AN38)</f>
        <v>42849720</v>
      </c>
      <c r="AY38" s="1679"/>
      <c r="AZ38" s="1680"/>
      <c r="BA38" s="1031"/>
      <c r="BB38" s="1031"/>
      <c r="BC38" s="1031"/>
      <c r="BD38" s="1023"/>
      <c r="BE38" s="1030"/>
      <c r="BF38" s="1020"/>
      <c r="BG38" s="1026"/>
      <c r="BH38" s="1022"/>
    </row>
    <row r="39" spans="1:62" s="1013" customFormat="1" ht="21" customHeight="1">
      <c r="A39" s="1120"/>
      <c r="B39" s="1321" t="s">
        <v>378</v>
      </c>
      <c r="C39" s="1121"/>
      <c r="D39" s="1122"/>
      <c r="E39" s="1123"/>
      <c r="F39" s="1122"/>
      <c r="G39" s="1124"/>
      <c r="H39" s="1124"/>
      <c r="I39" s="1124"/>
      <c r="J39" s="1124"/>
      <c r="K39" s="1124"/>
      <c r="L39" s="1124"/>
      <c r="M39" s="1124"/>
      <c r="N39" s="1124"/>
      <c r="O39" s="1124"/>
      <c r="P39" s="1124"/>
      <c r="Q39" s="1166" t="s">
        <v>176</v>
      </c>
      <c r="R39" s="1166" t="s">
        <v>176</v>
      </c>
      <c r="S39" s="1166" t="s">
        <v>176</v>
      </c>
      <c r="T39" s="1166" t="s">
        <v>176</v>
      </c>
      <c r="U39" s="1166" t="s">
        <v>176</v>
      </c>
      <c r="V39" s="1166" t="s">
        <v>176</v>
      </c>
      <c r="W39" s="1166" t="s">
        <v>176</v>
      </c>
      <c r="X39" s="1166" t="s">
        <v>176</v>
      </c>
      <c r="Y39" s="1166" t="s">
        <v>176</v>
      </c>
      <c r="Z39" s="1166" t="s">
        <v>176</v>
      </c>
      <c r="AA39" s="1166" t="s">
        <v>176</v>
      </c>
      <c r="AB39" s="1166" t="s">
        <v>176</v>
      </c>
      <c r="AC39" s="1166" t="s">
        <v>176</v>
      </c>
      <c r="AD39" s="1125">
        <f>'SUM2004'!C5</f>
        <v>0</v>
      </c>
      <c r="AE39" s="1125">
        <f>'SUM2004'!C5</f>
        <v>0</v>
      </c>
      <c r="AF39" s="1126">
        <f>'SUM2005'!C5</f>
        <v>2438271</v>
      </c>
      <c r="AG39" s="1328">
        <f>'SUM2006'!$C5</f>
        <v>6949845</v>
      </c>
      <c r="AH39" s="1328">
        <f>'SUM2007'!$D38</f>
        <v>1902877</v>
      </c>
      <c r="AI39" s="1328">
        <f>'SUM2008'!D5</f>
        <v>3754012</v>
      </c>
      <c r="AJ39" s="1328">
        <f>'SUM2009'!D5</f>
        <v>4887765</v>
      </c>
      <c r="AK39" s="1328">
        <f>'SUM2010'!D34</f>
        <v>5364236</v>
      </c>
      <c r="AL39" s="1328">
        <f t="shared" si="1"/>
        <v>25297006</v>
      </c>
      <c r="AM39" s="1328">
        <f>'SUM2011'!D36</f>
        <v>7192404</v>
      </c>
      <c r="AN39" s="1328">
        <f>'SUM2012'!D38</f>
        <v>7576813</v>
      </c>
      <c r="AO39" s="1328">
        <f>'SUM2013'!D40</f>
        <v>7141399</v>
      </c>
      <c r="AP39" s="1328">
        <f>'SUM2014'!D38</f>
        <v>7687665</v>
      </c>
      <c r="AQ39" s="1328">
        <f>'SUM 2015'!D38</f>
        <v>6152589</v>
      </c>
      <c r="AR39" s="1365">
        <f>'SUM 2016'!D38</f>
        <v>6983347</v>
      </c>
      <c r="AS39" s="1365">
        <f>'SUM 2017'!D38</f>
        <v>7149478</v>
      </c>
      <c r="AT39" s="1454">
        <f>'SUM 2018'!D39</f>
        <v>93632</v>
      </c>
      <c r="AU39" s="1450">
        <f>'SUM 2019'!D39</f>
        <v>0</v>
      </c>
      <c r="AV39" s="1629">
        <f>'SUM 2020'!D39</f>
        <v>0</v>
      </c>
      <c r="AW39" s="1447">
        <f>'SUM 2021'!D39</f>
        <v>0</v>
      </c>
      <c r="AX39" s="1355">
        <f>SUM(AL39:AT39)</f>
        <v>75274333</v>
      </c>
      <c r="AY39" s="1679"/>
      <c r="AZ39" s="1680"/>
      <c r="BA39" s="1023"/>
      <c r="BB39" s="1023"/>
      <c r="BC39" s="1031"/>
      <c r="BD39" s="1023"/>
      <c r="BE39" s="1030"/>
      <c r="BF39" s="1020"/>
      <c r="BG39" s="1026"/>
      <c r="BH39" s="1022"/>
    </row>
    <row r="40" spans="1:62" s="1013" customFormat="1" ht="21" customHeight="1">
      <c r="A40" s="1120"/>
      <c r="B40" s="1321" t="s">
        <v>498</v>
      </c>
      <c r="C40" s="1121"/>
      <c r="D40" s="1122"/>
      <c r="E40" s="1123"/>
      <c r="F40" s="1122"/>
      <c r="G40" s="1124"/>
      <c r="H40" s="1124"/>
      <c r="I40" s="1124"/>
      <c r="J40" s="1124"/>
      <c r="K40" s="1124"/>
      <c r="L40" s="1124"/>
      <c r="M40" s="1124"/>
      <c r="N40" s="1124"/>
      <c r="O40" s="1124"/>
      <c r="P40" s="1124"/>
      <c r="Q40" s="1166" t="s">
        <v>176</v>
      </c>
      <c r="R40" s="1166" t="s">
        <v>176</v>
      </c>
      <c r="S40" s="1166" t="s">
        <v>176</v>
      </c>
      <c r="T40" s="1166" t="s">
        <v>176</v>
      </c>
      <c r="U40" s="1166" t="s">
        <v>176</v>
      </c>
      <c r="V40" s="1166" t="s">
        <v>176</v>
      </c>
      <c r="W40" s="1166" t="s">
        <v>176</v>
      </c>
      <c r="X40" s="1166" t="s">
        <v>176</v>
      </c>
      <c r="Y40" s="1166" t="s">
        <v>176</v>
      </c>
      <c r="Z40" s="1177" t="s">
        <v>176</v>
      </c>
      <c r="AA40" s="1166" t="s">
        <v>176</v>
      </c>
      <c r="AB40" s="1166" t="s">
        <v>176</v>
      </c>
      <c r="AC40" s="1166" t="s">
        <v>176</v>
      </c>
      <c r="AD40" s="1166" t="s">
        <v>176</v>
      </c>
      <c r="AE40" s="1125">
        <f>'SUM2004'!C36</f>
        <v>0</v>
      </c>
      <c r="AF40" s="1126">
        <f>'SUM2005'!C36</f>
        <v>236</v>
      </c>
      <c r="AG40" s="1328">
        <f>'SUM2006'!$C34</f>
        <v>0</v>
      </c>
      <c r="AH40" s="1328">
        <f>'SUM2007'!$D34</f>
        <v>0</v>
      </c>
      <c r="AI40" s="1328">
        <f>'SUM2008'!D36</f>
        <v>0</v>
      </c>
      <c r="AJ40" s="1328">
        <f>'SUM2009'!D36</f>
        <v>0</v>
      </c>
      <c r="AK40" s="1328">
        <f>'SUM2010'!D35</f>
        <v>0</v>
      </c>
      <c r="AL40" s="1328">
        <f t="shared" si="1"/>
        <v>236</v>
      </c>
      <c r="AM40" s="1328">
        <f>'SUM2011'!D37</f>
        <v>0</v>
      </c>
      <c r="AN40" s="1328">
        <f>'SUM2012'!D39</f>
        <v>0</v>
      </c>
      <c r="AO40" s="1328">
        <f>'SUM2013'!D41</f>
        <v>0</v>
      </c>
      <c r="AP40" s="1328">
        <f>'SUM2014'!D39</f>
        <v>0</v>
      </c>
      <c r="AQ40" s="1328">
        <f>'SUM 2015'!D39</f>
        <v>0</v>
      </c>
      <c r="AR40" s="1365">
        <f>'SUM 2016'!D39</f>
        <v>0</v>
      </c>
      <c r="AS40" s="1365">
        <f>'SUM 2017'!D39</f>
        <v>0</v>
      </c>
      <c r="AT40" s="1454">
        <f>'SUM 2018'!D40</f>
        <v>0</v>
      </c>
      <c r="AU40" s="1450">
        <f>'SUM 2019'!D40</f>
        <v>0</v>
      </c>
      <c r="AV40" s="1450">
        <f>'SUM 2020'!D40</f>
        <v>0</v>
      </c>
      <c r="AW40" s="1448">
        <f>'SUM 2021'!D40</f>
        <v>0</v>
      </c>
      <c r="AX40" s="1355">
        <f>SUM(AL40:AW40)</f>
        <v>236</v>
      </c>
      <c r="AY40" s="1679"/>
      <c r="AZ40" s="1680"/>
      <c r="BA40" s="1032"/>
      <c r="BB40" s="1032"/>
      <c r="BC40" s="1031"/>
      <c r="BD40" s="1023"/>
      <c r="BE40" s="1030"/>
      <c r="BF40" s="1020"/>
      <c r="BG40" s="1026"/>
      <c r="BH40" s="1022"/>
    </row>
    <row r="41" spans="1:62" s="1013" customFormat="1" ht="21" customHeight="1">
      <c r="A41" s="1120"/>
      <c r="B41" s="1321" t="s">
        <v>499</v>
      </c>
      <c r="C41" s="1121"/>
      <c r="D41" s="1122"/>
      <c r="E41" s="1123"/>
      <c r="F41" s="1122"/>
      <c r="G41" s="1124"/>
      <c r="H41" s="1124"/>
      <c r="I41" s="1124"/>
      <c r="J41" s="1124"/>
      <c r="K41" s="1124"/>
      <c r="L41" s="1124"/>
      <c r="M41" s="1124"/>
      <c r="N41" s="1124"/>
      <c r="O41" s="1124"/>
      <c r="P41" s="1124"/>
      <c r="Q41" s="1166" t="s">
        <v>176</v>
      </c>
      <c r="R41" s="1166" t="s">
        <v>176</v>
      </c>
      <c r="S41" s="1166" t="s">
        <v>176</v>
      </c>
      <c r="T41" s="1166" t="s">
        <v>176</v>
      </c>
      <c r="U41" s="1166" t="s">
        <v>176</v>
      </c>
      <c r="V41" s="1166" t="s">
        <v>176</v>
      </c>
      <c r="W41" s="1166" t="s">
        <v>176</v>
      </c>
      <c r="X41" s="1166" t="s">
        <v>176</v>
      </c>
      <c r="Y41" s="1166" t="s">
        <v>176</v>
      </c>
      <c r="Z41" s="1177" t="s">
        <v>176</v>
      </c>
      <c r="AA41" s="1166" t="s">
        <v>176</v>
      </c>
      <c r="AB41" s="1166" t="s">
        <v>176</v>
      </c>
      <c r="AC41" s="1166" t="s">
        <v>176</v>
      </c>
      <c r="AD41" s="1166" t="s">
        <v>176</v>
      </c>
      <c r="AE41" s="1166" t="s">
        <v>176</v>
      </c>
      <c r="AF41" s="1177" t="s">
        <v>176</v>
      </c>
      <c r="AG41" s="1334" t="s">
        <v>176</v>
      </c>
      <c r="AH41" s="1328">
        <f>'SUM2007'!D35</f>
        <v>196806</v>
      </c>
      <c r="AI41" s="1328">
        <f>'SUM2008'!D37</f>
        <v>802074</v>
      </c>
      <c r="AJ41" s="1328">
        <f>'SUM2009'!D37</f>
        <v>1286433</v>
      </c>
      <c r="AK41" s="1328">
        <f>'SUM2010'!D36</f>
        <v>6183327</v>
      </c>
      <c r="AL41" s="1328">
        <f t="shared" si="1"/>
        <v>8468640</v>
      </c>
      <c r="AM41" s="1328">
        <f>'SUM2011'!D38</f>
        <v>8614847</v>
      </c>
      <c r="AN41" s="1328">
        <f>'SUM2012'!D40</f>
        <v>8014432</v>
      </c>
      <c r="AO41" s="1328">
        <f>'SUM2013'!D42</f>
        <v>8894156</v>
      </c>
      <c r="AP41" s="1328">
        <f>'SUM2014'!D40</f>
        <v>9205367</v>
      </c>
      <c r="AQ41" s="1328">
        <f>'SUM 2015'!D40</f>
        <v>8424747</v>
      </c>
      <c r="AR41" s="1365">
        <f>'SUM 2016'!D40</f>
        <v>9299300</v>
      </c>
      <c r="AS41" s="1365">
        <f>'SUM 2017'!D40</f>
        <v>10076011</v>
      </c>
      <c r="AT41" s="1454">
        <f>'SUM 2018'!D41</f>
        <v>8683043</v>
      </c>
      <c r="AU41" s="1450">
        <f>'SUM 2019'!D41</f>
        <v>9594365</v>
      </c>
      <c r="AV41" s="1450">
        <f>'SUM 2020'!D41</f>
        <v>10104902</v>
      </c>
      <c r="AW41" s="1448">
        <f>'SUM 2021'!D41</f>
        <v>8754648</v>
      </c>
      <c r="AX41" s="1355">
        <f>SUM(AL41:AW41)</f>
        <v>108134458</v>
      </c>
      <c r="AY41" s="1031"/>
      <c r="AZ41" s="1023"/>
      <c r="BA41" s="1023"/>
      <c r="BB41" s="1023"/>
      <c r="BC41" s="1023"/>
      <c r="BD41" s="1023"/>
      <c r="BE41" s="1030"/>
      <c r="BF41" s="1020"/>
      <c r="BG41" s="1026"/>
      <c r="BH41" s="1022"/>
    </row>
    <row r="42" spans="1:62" s="1013" customFormat="1" ht="21" customHeight="1">
      <c r="A42" s="1120"/>
      <c r="B42" s="1321" t="s">
        <v>379</v>
      </c>
      <c r="C42" s="1121"/>
      <c r="D42" s="1122"/>
      <c r="E42" s="1123"/>
      <c r="F42" s="1122"/>
      <c r="G42" s="1124"/>
      <c r="H42" s="1124"/>
      <c r="I42" s="1124"/>
      <c r="J42" s="1124"/>
      <c r="K42" s="1124"/>
      <c r="L42" s="1124"/>
      <c r="M42" s="1124"/>
      <c r="N42" s="1124"/>
      <c r="O42" s="1124"/>
      <c r="P42" s="1124"/>
      <c r="Q42" s="1166"/>
      <c r="R42" s="1166"/>
      <c r="S42" s="1166"/>
      <c r="T42" s="1166"/>
      <c r="U42" s="1166"/>
      <c r="V42" s="1166"/>
      <c r="W42" s="1166"/>
      <c r="X42" s="1166" t="s">
        <v>176</v>
      </c>
      <c r="Y42" s="1166" t="s">
        <v>176</v>
      </c>
      <c r="Z42" s="1166" t="s">
        <v>176</v>
      </c>
      <c r="AA42" s="1166" t="s">
        <v>176</v>
      </c>
      <c r="AB42" s="1166" t="s">
        <v>176</v>
      </c>
      <c r="AC42" s="1166" t="s">
        <v>176</v>
      </c>
      <c r="AD42" s="1166" t="s">
        <v>176</v>
      </c>
      <c r="AE42" s="1166" t="s">
        <v>176</v>
      </c>
      <c r="AF42" s="1177" t="s">
        <v>176</v>
      </c>
      <c r="AG42" s="1334" t="s">
        <v>176</v>
      </c>
      <c r="AH42" s="1334" t="s">
        <v>176</v>
      </c>
      <c r="AI42" s="1328">
        <f>'SUM2008'!D38</f>
        <v>0</v>
      </c>
      <c r="AJ42" s="1444" t="s">
        <v>176</v>
      </c>
      <c r="AK42" s="1444" t="s">
        <v>176</v>
      </c>
      <c r="AL42" s="1334" t="s">
        <v>176</v>
      </c>
      <c r="AM42" s="1444" t="s">
        <v>176</v>
      </c>
      <c r="AN42" s="1444" t="s">
        <v>176</v>
      </c>
      <c r="AO42" s="1444" t="s">
        <v>176</v>
      </c>
      <c r="AP42" s="1444" t="s">
        <v>176</v>
      </c>
      <c r="AQ42" s="1444" t="s">
        <v>176</v>
      </c>
      <c r="AR42" s="1444" t="s">
        <v>176</v>
      </c>
      <c r="AS42" s="1444" t="s">
        <v>176</v>
      </c>
      <c r="AT42" s="1454" t="s">
        <v>176</v>
      </c>
      <c r="AU42" s="1454" t="s">
        <v>176</v>
      </c>
      <c r="AV42" s="1454" t="s">
        <v>176</v>
      </c>
      <c r="AW42" s="1448">
        <f>'SUM 2021'!D42</f>
        <v>0</v>
      </c>
      <c r="AX42" s="1355">
        <f>SUM(AL42:AL42)</f>
        <v>0</v>
      </c>
      <c r="AY42" s="1031"/>
      <c r="AZ42" s="1023"/>
      <c r="BA42" s="1023"/>
      <c r="BB42" s="1023"/>
      <c r="BC42" s="1023"/>
      <c r="BD42" s="1023"/>
      <c r="BE42" s="1024"/>
      <c r="BF42" s="1020"/>
      <c r="BG42" s="1026"/>
      <c r="BH42" s="1022"/>
    </row>
    <row r="43" spans="1:62" s="1013" customFormat="1" ht="21" customHeight="1">
      <c r="A43" s="1120"/>
      <c r="B43" s="1321" t="s">
        <v>380</v>
      </c>
      <c r="C43" s="1121"/>
      <c r="D43" s="1122"/>
      <c r="E43" s="1123"/>
      <c r="F43" s="1122"/>
      <c r="G43" s="1124"/>
      <c r="H43" s="1124"/>
      <c r="I43" s="1124"/>
      <c r="J43" s="1124"/>
      <c r="K43" s="1124"/>
      <c r="L43" s="1124"/>
      <c r="M43" s="1124"/>
      <c r="N43" s="1124"/>
      <c r="O43" s="1124"/>
      <c r="P43" s="1124"/>
      <c r="Q43" s="1166"/>
      <c r="R43" s="1166"/>
      <c r="S43" s="1166"/>
      <c r="T43" s="1166"/>
      <c r="U43" s="1166"/>
      <c r="V43" s="1166"/>
      <c r="W43" s="1166"/>
      <c r="X43" s="1166"/>
      <c r="Y43" s="1166"/>
      <c r="Z43" s="1177"/>
      <c r="AA43" s="1166" t="s">
        <v>176</v>
      </c>
      <c r="AB43" s="1166" t="s">
        <v>176</v>
      </c>
      <c r="AC43" s="1166" t="s">
        <v>176</v>
      </c>
      <c r="AD43" s="1166" t="s">
        <v>176</v>
      </c>
      <c r="AE43" s="1166" t="s">
        <v>176</v>
      </c>
      <c r="AF43" s="1177" t="s">
        <v>176</v>
      </c>
      <c r="AG43" s="1334" t="s">
        <v>176</v>
      </c>
      <c r="AH43" s="1334" t="s">
        <v>176</v>
      </c>
      <c r="AI43" s="1334" t="s">
        <v>176</v>
      </c>
      <c r="AJ43" s="1328">
        <f>'SUM2009'!D39</f>
        <v>1000525</v>
      </c>
      <c r="AK43" s="1328">
        <f>'SUM2010'!D38</f>
        <v>2252130</v>
      </c>
      <c r="AL43" s="1334">
        <f t="shared" ref="AL43:AL44" si="2">SUM(C43:AK43)</f>
        <v>3252655</v>
      </c>
      <c r="AM43" s="1328">
        <f>'SUM2011'!D40</f>
        <v>1353006</v>
      </c>
      <c r="AN43" s="1328">
        <f>'SUM2012'!D42</f>
        <v>1310805</v>
      </c>
      <c r="AO43" s="1328">
        <f>'SUM2013'!D44</f>
        <v>855384</v>
      </c>
      <c r="AP43" s="1328">
        <f>'SUM2014'!D42</f>
        <v>0</v>
      </c>
      <c r="AQ43" s="1328">
        <f>'SUM 2015'!D42</f>
        <v>0</v>
      </c>
      <c r="AR43" s="1334">
        <f>'SUM 2016'!D42</f>
        <v>0</v>
      </c>
      <c r="AS43" s="1334">
        <f>'SUM 2017'!D42</f>
        <v>0</v>
      </c>
      <c r="AT43" s="1455">
        <f>'SUM 2018'!D43</f>
        <v>0</v>
      </c>
      <c r="AU43" s="1629">
        <f>'SUM 2019'!D43</f>
        <v>0</v>
      </c>
      <c r="AV43" s="1629">
        <f>'SUM 2020'!D43</f>
        <v>0</v>
      </c>
      <c r="AW43" s="1447">
        <f>'SUM 2021'!D43</f>
        <v>0</v>
      </c>
      <c r="AX43" s="1355">
        <f>SUM(AL43:AO43)</f>
        <v>6771850</v>
      </c>
      <c r="AY43" s="1031"/>
      <c r="AZ43" s="1023"/>
      <c r="BA43" s="1023"/>
      <c r="BB43" s="1033"/>
      <c r="BC43" s="1033"/>
      <c r="BD43" s="1033"/>
      <c r="BE43" s="1033"/>
      <c r="BF43" s="1020"/>
      <c r="BG43" s="1026"/>
      <c r="BH43" s="1022"/>
    </row>
    <row r="44" spans="1:62" s="1013" customFormat="1" ht="21" customHeight="1">
      <c r="A44" s="1120"/>
      <c r="B44" s="1321" t="s">
        <v>381</v>
      </c>
      <c r="C44" s="1121"/>
      <c r="D44" s="1122"/>
      <c r="E44" s="1123"/>
      <c r="F44" s="1122"/>
      <c r="G44" s="1124"/>
      <c r="H44" s="1124"/>
      <c r="I44" s="1124"/>
      <c r="J44" s="1124"/>
      <c r="K44" s="1124"/>
      <c r="L44" s="1124"/>
      <c r="M44" s="1124"/>
      <c r="N44" s="1124"/>
      <c r="O44" s="1124"/>
      <c r="P44" s="1124"/>
      <c r="Q44" s="1166"/>
      <c r="R44" s="1166"/>
      <c r="S44" s="1166"/>
      <c r="T44" s="1166"/>
      <c r="U44" s="1166"/>
      <c r="V44" s="1166"/>
      <c r="W44" s="1166"/>
      <c r="X44" s="1166"/>
      <c r="Y44" s="1166"/>
      <c r="Z44" s="1177"/>
      <c r="AA44" s="1177" t="s">
        <v>176</v>
      </c>
      <c r="AB44" s="1177" t="s">
        <v>176</v>
      </c>
      <c r="AC44" s="1177" t="s">
        <v>176</v>
      </c>
      <c r="AD44" s="1166" t="s">
        <v>176</v>
      </c>
      <c r="AE44" s="1166" t="s">
        <v>176</v>
      </c>
      <c r="AF44" s="1177" t="s">
        <v>176</v>
      </c>
      <c r="AG44" s="1334" t="s">
        <v>176</v>
      </c>
      <c r="AH44" s="1334" t="s">
        <v>176</v>
      </c>
      <c r="AI44" s="1334" t="s">
        <v>176</v>
      </c>
      <c r="AJ44" s="1334" t="s">
        <v>176</v>
      </c>
      <c r="AK44" s="1334" t="s">
        <v>176</v>
      </c>
      <c r="AL44" s="1334">
        <f t="shared" si="2"/>
        <v>0</v>
      </c>
      <c r="AM44" s="1328">
        <f>'SUM2011'!D41</f>
        <v>2765429</v>
      </c>
      <c r="AN44" s="1328">
        <f>'SUM2012'!D43</f>
        <v>2978598</v>
      </c>
      <c r="AO44" s="1328">
        <f>'SUM2013'!D45</f>
        <v>3126813</v>
      </c>
      <c r="AP44" s="1328">
        <f>'SUM2014'!D43</f>
        <v>3583071</v>
      </c>
      <c r="AQ44" s="1328">
        <f>'SUM 2015'!D43</f>
        <v>1395817</v>
      </c>
      <c r="AR44" s="1365">
        <f>'SUM 2016'!D43</f>
        <v>1415346</v>
      </c>
      <c r="AS44" s="1365">
        <f>'SUM 2017'!D43</f>
        <v>1239905</v>
      </c>
      <c r="AT44" s="1454">
        <f>'SUM 2018'!D44</f>
        <v>0</v>
      </c>
      <c r="AU44" s="1450">
        <f>'SUM 2019'!D44</f>
        <v>0</v>
      </c>
      <c r="AV44" s="1450">
        <f>'SUM 2020'!D44</f>
        <v>0</v>
      </c>
      <c r="AW44" s="1421">
        <f>'SUM 2021'!D44</f>
        <v>0</v>
      </c>
      <c r="AX44" s="1355">
        <f>SUM(AL44:AS44)</f>
        <v>16504979</v>
      </c>
      <c r="AY44" s="1031"/>
      <c r="AZ44" s="1023"/>
      <c r="BA44" s="1023"/>
      <c r="BB44" s="1023"/>
      <c r="BC44" s="1023"/>
      <c r="BD44" s="1023"/>
      <c r="BE44" s="1034"/>
      <c r="BF44" s="1020"/>
      <c r="BG44" s="1026"/>
      <c r="BH44" s="1022"/>
    </row>
    <row r="45" spans="1:62" s="1013" customFormat="1" ht="21" customHeight="1">
      <c r="A45" s="1120"/>
      <c r="B45" s="1321" t="s">
        <v>382</v>
      </c>
      <c r="C45" s="1121"/>
      <c r="D45" s="1122"/>
      <c r="E45" s="1123"/>
      <c r="F45" s="1122"/>
      <c r="G45" s="1124"/>
      <c r="H45" s="1124"/>
      <c r="I45" s="1124"/>
      <c r="J45" s="1124"/>
      <c r="K45" s="1124"/>
      <c r="L45" s="1124"/>
      <c r="M45" s="1124"/>
      <c r="N45" s="1124"/>
      <c r="O45" s="1124"/>
      <c r="P45" s="1124"/>
      <c r="Q45" s="1166"/>
      <c r="R45" s="1166"/>
      <c r="S45" s="1166"/>
      <c r="T45" s="1166"/>
      <c r="U45" s="1166"/>
      <c r="V45" s="1166"/>
      <c r="W45" s="1166"/>
      <c r="X45" s="1166"/>
      <c r="Y45" s="1166"/>
      <c r="Z45" s="1177"/>
      <c r="AA45" s="1177" t="s">
        <v>176</v>
      </c>
      <c r="AB45" s="1177" t="s">
        <v>176</v>
      </c>
      <c r="AC45" s="1177" t="s">
        <v>176</v>
      </c>
      <c r="AD45" s="1166" t="s">
        <v>176</v>
      </c>
      <c r="AE45" s="1166" t="s">
        <v>176</v>
      </c>
      <c r="AF45" s="1177" t="s">
        <v>176</v>
      </c>
      <c r="AG45" s="1334" t="s">
        <v>176</v>
      </c>
      <c r="AH45" s="1334" t="s">
        <v>176</v>
      </c>
      <c r="AI45" s="1334" t="s">
        <v>176</v>
      </c>
      <c r="AJ45" s="1334" t="s">
        <v>176</v>
      </c>
      <c r="AK45" s="1334" t="s">
        <v>176</v>
      </c>
      <c r="AL45" s="1334" t="s">
        <v>176</v>
      </c>
      <c r="AM45" s="1334" t="s">
        <v>176</v>
      </c>
      <c r="AN45" s="1334" t="s">
        <v>176</v>
      </c>
      <c r="AO45" s="1334" t="s">
        <v>176</v>
      </c>
      <c r="AP45" s="1328">
        <f>'SUM2014'!D44</f>
        <v>153239</v>
      </c>
      <c r="AQ45" s="1328">
        <f>'SUM 2015'!D44</f>
        <v>579854</v>
      </c>
      <c r="AR45" s="1365">
        <f>'SUM 2016'!D44</f>
        <v>59120</v>
      </c>
      <c r="AS45" s="1365">
        <f>'SUM 2017'!D44</f>
        <v>0</v>
      </c>
      <c r="AT45" s="1454">
        <f>'SUM 2018'!D45</f>
        <v>0</v>
      </c>
      <c r="AU45" s="1450">
        <f>'SUM 2019'!D45</f>
        <v>0</v>
      </c>
      <c r="AV45" s="1450">
        <f>'SUM 2020'!D45</f>
        <v>0</v>
      </c>
      <c r="AW45" s="1421">
        <f>'SUM 2021'!D45</f>
        <v>0</v>
      </c>
      <c r="AX45" s="1355">
        <f>SUM(AL45:AR45)</f>
        <v>792213</v>
      </c>
      <c r="AY45" s="1031"/>
      <c r="AZ45" s="1023"/>
      <c r="BA45" s="1023"/>
      <c r="BB45" s="1023"/>
      <c r="BC45" s="1023"/>
      <c r="BD45" s="1023"/>
      <c r="BE45" s="1034"/>
      <c r="BF45" s="1020"/>
      <c r="BG45" s="1026"/>
      <c r="BH45" s="1022"/>
    </row>
    <row r="46" spans="1:62" s="1013" customFormat="1" ht="21" customHeight="1">
      <c r="A46" s="1120"/>
      <c r="B46" s="1321" t="s">
        <v>500</v>
      </c>
      <c r="C46" s="1121"/>
      <c r="D46" s="1122"/>
      <c r="E46" s="1123"/>
      <c r="F46" s="1122"/>
      <c r="G46" s="1124"/>
      <c r="H46" s="1124"/>
      <c r="I46" s="1124"/>
      <c r="J46" s="1124"/>
      <c r="K46" s="1124"/>
      <c r="L46" s="1124"/>
      <c r="M46" s="1124"/>
      <c r="N46" s="1124"/>
      <c r="O46" s="1124"/>
      <c r="P46" s="1124"/>
      <c r="Q46" s="1166"/>
      <c r="R46" s="1166"/>
      <c r="S46" s="1166"/>
      <c r="T46" s="1166"/>
      <c r="U46" s="1166"/>
      <c r="V46" s="1166"/>
      <c r="W46" s="1166"/>
      <c r="X46" s="1166"/>
      <c r="Y46" s="1166"/>
      <c r="Z46" s="1177"/>
      <c r="AA46" s="1177"/>
      <c r="AB46" s="1177"/>
      <c r="AC46" s="1177" t="s">
        <v>176</v>
      </c>
      <c r="AD46" s="1177" t="s">
        <v>176</v>
      </c>
      <c r="AE46" s="1177" t="s">
        <v>176</v>
      </c>
      <c r="AF46" s="1177" t="s">
        <v>176</v>
      </c>
      <c r="AG46" s="1335" t="s">
        <v>176</v>
      </c>
      <c r="AH46" s="1335" t="s">
        <v>176</v>
      </c>
      <c r="AI46" s="1335" t="s">
        <v>176</v>
      </c>
      <c r="AJ46" s="1335" t="s">
        <v>176</v>
      </c>
      <c r="AK46" s="1335" t="s">
        <v>176</v>
      </c>
      <c r="AL46" s="1335" t="s">
        <v>176</v>
      </c>
      <c r="AM46" s="1335" t="s">
        <v>176</v>
      </c>
      <c r="AN46" s="1335" t="s">
        <v>176</v>
      </c>
      <c r="AO46" s="1335" t="s">
        <v>176</v>
      </c>
      <c r="AP46" s="1331">
        <f>'SUM2014'!D45</f>
        <v>627082</v>
      </c>
      <c r="AQ46" s="1331">
        <f>'SUM 2015'!D45</f>
        <v>1573950</v>
      </c>
      <c r="AR46" s="1366">
        <f>'SUM 2016'!D45</f>
        <v>2567044</v>
      </c>
      <c r="AS46" s="1366">
        <f>'SUM 2017'!D45</f>
        <v>3048198</v>
      </c>
      <c r="AT46" s="1452">
        <f>'SUM 2018'!D46</f>
        <v>2734143</v>
      </c>
      <c r="AU46" s="1630">
        <f>'SUM 2019'!D46</f>
        <v>2663711</v>
      </c>
      <c r="AV46" s="1630">
        <f>'SUM 2020'!D46</f>
        <v>2954048</v>
      </c>
      <c r="AW46" s="1449">
        <f>'SUM 2021'!D46</f>
        <v>2102030</v>
      </c>
      <c r="AX46" s="1364">
        <f>SUM(AL46:AW46)</f>
        <v>18270206</v>
      </c>
      <c r="AY46" s="1031"/>
      <c r="AZ46" s="1023"/>
      <c r="BA46" s="1023"/>
      <c r="BB46" s="1023"/>
      <c r="BC46" s="1023"/>
      <c r="BD46" s="1023"/>
      <c r="BE46" s="1024"/>
      <c r="BF46" s="1020"/>
      <c r="BG46" s="1026"/>
      <c r="BH46" s="1022"/>
    </row>
    <row r="47" spans="1:62" s="1013" customFormat="1" ht="21" customHeight="1">
      <c r="A47" s="1127" t="s">
        <v>86</v>
      </c>
      <c r="B47" s="1322"/>
      <c r="C47" s="1128"/>
      <c r="D47" s="1129"/>
      <c r="E47" s="1130"/>
      <c r="F47" s="1129"/>
      <c r="G47" s="1131"/>
      <c r="H47" s="1131"/>
      <c r="I47" s="1131"/>
      <c r="J47" s="1131"/>
      <c r="K47" s="1131"/>
      <c r="L47" s="1131"/>
      <c r="M47" s="1131"/>
      <c r="N47" s="1131"/>
      <c r="O47" s="1131"/>
      <c r="P47" s="1131"/>
      <c r="Q47" s="1147"/>
      <c r="R47" s="1147"/>
      <c r="S47" s="1147"/>
      <c r="T47" s="1147"/>
      <c r="U47" s="1147"/>
      <c r="V47" s="1147"/>
      <c r="W47" s="1147"/>
      <c r="X47" s="1147"/>
      <c r="Y47" s="1147"/>
      <c r="Z47" s="1148"/>
      <c r="AA47" s="1147"/>
      <c r="AB47" s="1147"/>
      <c r="AC47" s="1147"/>
      <c r="AD47" s="1147"/>
      <c r="AE47" s="1147"/>
      <c r="AF47" s="1129"/>
      <c r="AG47" s="1328"/>
      <c r="AH47" s="1328"/>
      <c r="AI47" s="1328"/>
      <c r="AJ47" s="1328"/>
      <c r="AK47" s="1328"/>
      <c r="AL47" s="1328"/>
      <c r="AM47" s="1328"/>
      <c r="AN47" s="1328"/>
      <c r="AO47" s="1328"/>
      <c r="AP47" s="1328"/>
      <c r="AQ47" s="1328"/>
      <c r="AR47" s="1365"/>
      <c r="AS47" s="1365"/>
      <c r="AT47" s="1450"/>
      <c r="AU47" s="1450"/>
      <c r="AV47" s="1450"/>
      <c r="AW47" s="1421"/>
      <c r="AX47" s="1355"/>
      <c r="AY47" s="1031"/>
      <c r="AZ47" s="1023"/>
      <c r="BA47" s="1023"/>
      <c r="BB47" s="1023"/>
      <c r="BC47" s="1023"/>
      <c r="BD47" s="1023"/>
      <c r="BE47" s="1024"/>
      <c r="BF47" s="1020"/>
      <c r="BG47" s="1026"/>
      <c r="BH47" s="1022"/>
    </row>
    <row r="48" spans="1:62" s="1013" customFormat="1" ht="21" customHeight="1" thickBot="1">
      <c r="A48" s="1139"/>
      <c r="B48" s="1323" t="s">
        <v>544</v>
      </c>
      <c r="C48" s="1140">
        <v>0</v>
      </c>
      <c r="D48" s="1141">
        <v>0</v>
      </c>
      <c r="E48" s="1142">
        <v>0</v>
      </c>
      <c r="F48" s="1141">
        <v>0</v>
      </c>
      <c r="G48" s="1143">
        <v>0</v>
      </c>
      <c r="H48" s="1143">
        <v>0</v>
      </c>
      <c r="I48" s="1143">
        <v>0</v>
      </c>
      <c r="J48" s="1143">
        <v>0</v>
      </c>
      <c r="K48" s="1143">
        <v>0</v>
      </c>
      <c r="L48" s="1143">
        <v>0</v>
      </c>
      <c r="M48" s="1143">
        <v>0</v>
      </c>
      <c r="N48" s="1143">
        <v>0</v>
      </c>
      <c r="O48" s="1143">
        <v>0</v>
      </c>
      <c r="P48" s="1143">
        <v>5194</v>
      </c>
      <c r="Q48" s="1151">
        <v>660727</v>
      </c>
      <c r="R48" s="1151">
        <v>1510103</v>
      </c>
      <c r="S48" s="1151">
        <v>1893456</v>
      </c>
      <c r="T48" s="1151">
        <v>1782139</v>
      </c>
      <c r="U48" s="1151">
        <v>1951294</v>
      </c>
      <c r="V48" s="1151">
        <v>1981772</v>
      </c>
      <c r="W48" s="1151">
        <v>1933392</v>
      </c>
      <c r="X48" s="1151">
        <v>1702000</v>
      </c>
      <c r="Y48" s="1151">
        <v>1864208</v>
      </c>
      <c r="Z48" s="1152">
        <v>1615235</v>
      </c>
      <c r="AA48" s="1151">
        <v>1635188</v>
      </c>
      <c r="AB48" s="1151">
        <v>2143975</v>
      </c>
      <c r="AC48" s="1151">
        <v>1928603</v>
      </c>
      <c r="AD48" s="1151">
        <f>'SUM2003'!C38</f>
        <v>2221036</v>
      </c>
      <c r="AE48" s="1151">
        <f>'SUM2004'!C39</f>
        <v>1944757</v>
      </c>
      <c r="AF48" s="1141">
        <f>'SUM2005'!C39</f>
        <v>2178792</v>
      </c>
      <c r="AG48" s="1331">
        <f>'SUM2006'!$C37</f>
        <v>1788496</v>
      </c>
      <c r="AH48" s="1331">
        <f>'SUM2007'!$D38</f>
        <v>1902877</v>
      </c>
      <c r="AI48" s="1331">
        <f>'SUM2008'!D41</f>
        <v>2121961</v>
      </c>
      <c r="AJ48" s="1331">
        <f>'SUM2009'!D42</f>
        <v>1724612</v>
      </c>
      <c r="AK48" s="1331">
        <f>'SUM2010'!D42</f>
        <v>1869981</v>
      </c>
      <c r="AL48" s="1331">
        <f>SUM(C48:AK48)</f>
        <v>38359798</v>
      </c>
      <c r="AM48" s="1331">
        <f>'SUM2011'!D44</f>
        <v>1826445</v>
      </c>
      <c r="AN48" s="1328">
        <f>'SUM2012'!D48</f>
        <v>1357420</v>
      </c>
      <c r="AO48" s="1328">
        <f>'SUM2013'!D50</f>
        <v>1712679</v>
      </c>
      <c r="AP48" s="1328">
        <f>'SUM2014'!D48</f>
        <v>1958835</v>
      </c>
      <c r="AQ48" s="1328">
        <f>'SUM 2015'!D48</f>
        <v>2079570</v>
      </c>
      <c r="AR48" s="1365">
        <f>'SUM 2016'!D48</f>
        <v>2123225</v>
      </c>
      <c r="AS48" s="1365">
        <f>'SUM 2017'!D48</f>
        <v>1992150</v>
      </c>
      <c r="AT48" s="1450">
        <f>'SUM 2018'!D49</f>
        <v>2030297</v>
      </c>
      <c r="AU48" s="1450">
        <f>'SUM 2019'!D49</f>
        <v>2156794</v>
      </c>
      <c r="AV48" s="1450">
        <f>'SUM 2020'!D49</f>
        <v>1972073</v>
      </c>
      <c r="AW48" s="1421">
        <f>'SUM 2021'!D49</f>
        <v>2063647</v>
      </c>
      <c r="AX48" s="1355">
        <f>SUM(AL48:AW48)</f>
        <v>59632933</v>
      </c>
      <c r="AY48" s="1031"/>
      <c r="AZ48" s="1023"/>
      <c r="BA48" s="1023"/>
      <c r="BB48" s="1023"/>
      <c r="BC48" s="1023"/>
      <c r="BD48" s="1023"/>
      <c r="BE48" s="1024"/>
      <c r="BF48" s="1020"/>
      <c r="BG48" s="1026"/>
      <c r="BH48" s="1022"/>
    </row>
    <row r="49" spans="1:60" s="1013" customFormat="1" ht="21" hidden="1" customHeight="1">
      <c r="A49" s="1127" t="s">
        <v>88</v>
      </c>
      <c r="B49" s="1322"/>
      <c r="C49" s="1128"/>
      <c r="D49" s="1129"/>
      <c r="E49" s="1130"/>
      <c r="F49" s="1129"/>
      <c r="G49" s="1131"/>
      <c r="H49" s="1131"/>
      <c r="I49" s="1131"/>
      <c r="J49" s="1131"/>
      <c r="K49" s="1131"/>
      <c r="L49" s="1131"/>
      <c r="M49" s="1131"/>
      <c r="N49" s="1131"/>
      <c r="O49" s="1131"/>
      <c r="P49" s="1131"/>
      <c r="Q49" s="1178"/>
      <c r="R49" s="1135"/>
      <c r="S49" s="1135"/>
      <c r="T49" s="1135"/>
      <c r="U49" s="1135"/>
      <c r="V49" s="1135"/>
      <c r="W49" s="1135"/>
      <c r="X49" s="1135"/>
      <c r="Y49" s="1135"/>
      <c r="Z49" s="1135" t="s">
        <v>163</v>
      </c>
      <c r="AA49" s="1135"/>
      <c r="AB49" s="1135"/>
      <c r="AC49" s="1135"/>
      <c r="AD49" s="1135"/>
      <c r="AE49" s="1138"/>
      <c r="AF49" s="1138"/>
      <c r="AG49" s="1329"/>
      <c r="AH49" s="1329"/>
      <c r="AI49" s="1329"/>
      <c r="AJ49" s="1329"/>
      <c r="AK49" s="1329"/>
      <c r="AL49" s="1329"/>
      <c r="AM49" s="1135"/>
      <c r="AN49" s="1329"/>
      <c r="AO49" s="1329"/>
      <c r="AP49" s="1329"/>
      <c r="AQ49" s="1329"/>
      <c r="AR49" s="1342"/>
      <c r="AS49" s="1342"/>
      <c r="AT49" s="1342"/>
      <c r="AU49" s="1342"/>
      <c r="AV49" s="1342"/>
      <c r="AW49" s="1342"/>
      <c r="AX49" s="1357"/>
      <c r="AY49" s="1031"/>
      <c r="AZ49" s="1023"/>
      <c r="BA49" s="1023"/>
      <c r="BB49" s="1023"/>
      <c r="BC49" s="1023"/>
      <c r="BD49" s="1023"/>
      <c r="BE49" s="1024"/>
      <c r="BF49" s="1020"/>
      <c r="BG49" s="1026"/>
      <c r="BH49" s="1022"/>
    </row>
    <row r="50" spans="1:60" s="1013" customFormat="1" ht="21" hidden="1" customHeight="1" thickBot="1">
      <c r="A50" s="1179"/>
      <c r="B50" s="1324" t="s">
        <v>383</v>
      </c>
      <c r="C50" s="1180">
        <v>0</v>
      </c>
      <c r="D50" s="1181">
        <v>0</v>
      </c>
      <c r="E50" s="1182">
        <v>0</v>
      </c>
      <c r="F50" s="1181">
        <v>0</v>
      </c>
      <c r="G50" s="1183">
        <v>150000</v>
      </c>
      <c r="H50" s="1183">
        <v>108544</v>
      </c>
      <c r="I50" s="1183">
        <v>113000</v>
      </c>
      <c r="J50" s="1183">
        <v>94440</v>
      </c>
      <c r="K50" s="1183">
        <v>0</v>
      </c>
      <c r="L50" s="1183">
        <v>0</v>
      </c>
      <c r="M50" s="1183">
        <v>0</v>
      </c>
      <c r="N50" s="1183">
        <v>0</v>
      </c>
      <c r="O50" s="1183">
        <v>0</v>
      </c>
      <c r="P50" s="1183">
        <v>0</v>
      </c>
      <c r="Q50" s="1184"/>
      <c r="R50" s="1184"/>
      <c r="S50" s="1184"/>
      <c r="T50" s="1184"/>
      <c r="U50" s="1184"/>
      <c r="V50" s="1184"/>
      <c r="W50" s="1184"/>
      <c r="X50" s="1184"/>
      <c r="Y50" s="1184"/>
      <c r="Z50" s="1185"/>
      <c r="AA50" s="1186"/>
      <c r="AB50" s="1186"/>
      <c r="AC50" s="1186"/>
      <c r="AD50" s="1186"/>
      <c r="AE50" s="1186"/>
      <c r="AF50" s="1186"/>
      <c r="AG50" s="1341"/>
      <c r="AH50" s="1341"/>
      <c r="AI50" s="1341"/>
      <c r="AJ50" s="1341"/>
      <c r="AK50" s="1341"/>
      <c r="AL50" s="1446">
        <f>SUM(E50:AK50)</f>
        <v>465984</v>
      </c>
      <c r="AM50" s="1341"/>
      <c r="AN50" s="1341"/>
      <c r="AO50" s="1341"/>
      <c r="AP50" s="1341"/>
      <c r="AQ50" s="1341"/>
      <c r="AR50" s="1346"/>
      <c r="AS50" s="1363"/>
      <c r="AT50" s="1363"/>
      <c r="AU50" s="1853" t="s">
        <v>163</v>
      </c>
      <c r="AV50" s="1854"/>
      <c r="AW50" s="1840"/>
      <c r="AX50" s="1358">
        <f>SUM(AL50:AW50)</f>
        <v>465984</v>
      </c>
      <c r="AY50" s="1031"/>
      <c r="AZ50" s="1023"/>
      <c r="BA50" s="1023"/>
      <c r="BB50" s="1023"/>
      <c r="BC50" s="1023"/>
      <c r="BD50" s="1023"/>
      <c r="BE50" s="1024"/>
      <c r="BF50" s="1020"/>
      <c r="BG50" s="1026"/>
      <c r="BH50" s="1022"/>
    </row>
    <row r="51" spans="1:60" s="1013" customFormat="1" ht="21" customHeight="1" thickTop="1" thickBot="1">
      <c r="A51" s="1867" t="s">
        <v>44</v>
      </c>
      <c r="B51" s="1868"/>
      <c r="C51" s="1187">
        <f t="shared" ref="C51:P51" si="3">SUM(C4:C50)</f>
        <v>14290980</v>
      </c>
      <c r="D51" s="1188">
        <f t="shared" si="3"/>
        <v>16899441</v>
      </c>
      <c r="E51" s="1188">
        <f t="shared" si="3"/>
        <v>24516082</v>
      </c>
      <c r="F51" s="1189">
        <f t="shared" si="3"/>
        <v>29834964</v>
      </c>
      <c r="G51" s="1190">
        <f t="shared" si="3"/>
        <v>30250783</v>
      </c>
      <c r="H51" s="1190">
        <f t="shared" si="3"/>
        <v>32763935</v>
      </c>
      <c r="I51" s="1190">
        <f t="shared" si="3"/>
        <v>34750787</v>
      </c>
      <c r="J51" s="1190">
        <f t="shared" si="3"/>
        <v>38925397</v>
      </c>
      <c r="K51" s="1190">
        <f t="shared" si="3"/>
        <v>41283698</v>
      </c>
      <c r="L51" s="1190">
        <f t="shared" si="3"/>
        <v>45387479</v>
      </c>
      <c r="M51" s="1190">
        <f t="shared" si="3"/>
        <v>48491612</v>
      </c>
      <c r="N51" s="1190">
        <f t="shared" si="3"/>
        <v>50617094</v>
      </c>
      <c r="O51" s="1190">
        <f t="shared" si="3"/>
        <v>52321750</v>
      </c>
      <c r="P51" s="1190">
        <f t="shared" si="3"/>
        <v>54064834</v>
      </c>
      <c r="Q51" s="1191">
        <f t="shared" ref="Q51:AB51" si="4">SUM(Q4:Q50)</f>
        <v>55559754</v>
      </c>
      <c r="R51" s="1191">
        <f t="shared" si="4"/>
        <v>53775088</v>
      </c>
      <c r="S51" s="1191">
        <f t="shared" si="4"/>
        <v>54989842</v>
      </c>
      <c r="T51" s="1191">
        <f t="shared" si="4"/>
        <v>56478272</v>
      </c>
      <c r="U51" s="1191">
        <f t="shared" si="4"/>
        <v>50917859</v>
      </c>
      <c r="V51" s="1191">
        <f t="shared" si="4"/>
        <v>52856181</v>
      </c>
      <c r="W51" s="1191">
        <f t="shared" si="4"/>
        <v>52032153</v>
      </c>
      <c r="X51" s="1191">
        <f t="shared" si="4"/>
        <v>53163521.189999998</v>
      </c>
      <c r="Y51" s="1191">
        <f t="shared" si="4"/>
        <v>53408065.32</v>
      </c>
      <c r="Z51" s="1192">
        <f t="shared" si="4"/>
        <v>53201938.82</v>
      </c>
      <c r="AA51" s="1192">
        <f t="shared" si="4"/>
        <v>47443978.879999995</v>
      </c>
      <c r="AB51" s="1192">
        <f t="shared" si="4"/>
        <v>45668782.549999997</v>
      </c>
      <c r="AC51" s="1192">
        <f>SUM(AC4:AC50)</f>
        <v>44683792.840000004</v>
      </c>
      <c r="AD51" s="1193">
        <f t="shared" ref="AD51:AM51" si="5">SUM(AD4:AD50)</f>
        <v>48179875</v>
      </c>
      <c r="AE51" s="1192">
        <f t="shared" si="5"/>
        <v>45680097</v>
      </c>
      <c r="AF51" s="1193">
        <f t="shared" si="5"/>
        <v>47168916</v>
      </c>
      <c r="AG51" s="1336">
        <f t="shared" si="5"/>
        <v>46128231</v>
      </c>
      <c r="AH51" s="1336">
        <f>SUM(AH4:AH50)</f>
        <v>38403681</v>
      </c>
      <c r="AI51" s="1336">
        <f t="shared" si="5"/>
        <v>40152112</v>
      </c>
      <c r="AJ51" s="1336">
        <f t="shared" si="5"/>
        <v>37099067</v>
      </c>
      <c r="AK51" s="1336">
        <f t="shared" si="5"/>
        <v>41419857</v>
      </c>
      <c r="AL51" s="1336">
        <f>SUM(C51:AK51)</f>
        <v>1532809900.5999999</v>
      </c>
      <c r="AM51" s="1336">
        <f t="shared" si="5"/>
        <v>45587404</v>
      </c>
      <c r="AN51" s="1336">
        <f t="shared" ref="AN51" si="6">SUM(AN4:AN50)</f>
        <v>43536176</v>
      </c>
      <c r="AO51" s="1336">
        <f t="shared" ref="AO51:AU51" si="7">SUM(AO4:AO50)</f>
        <v>42449594</v>
      </c>
      <c r="AP51" s="1336">
        <f t="shared" si="7"/>
        <v>43633881</v>
      </c>
      <c r="AQ51" s="1336">
        <f t="shared" si="7"/>
        <v>36277112</v>
      </c>
      <c r="AR51" s="1347">
        <f t="shared" si="7"/>
        <v>39139879</v>
      </c>
      <c r="AS51" s="1347">
        <f t="shared" si="7"/>
        <v>35415535</v>
      </c>
      <c r="AT51" s="1347">
        <f t="shared" si="7"/>
        <v>24842955</v>
      </c>
      <c r="AU51" s="1347">
        <f t="shared" si="7"/>
        <v>23306720</v>
      </c>
      <c r="AV51" s="1347">
        <f t="shared" ref="AV51:AW51" si="8">SUM(AV4:AV50)</f>
        <v>19639076</v>
      </c>
      <c r="AW51" s="1347">
        <f t="shared" si="8"/>
        <v>17455627</v>
      </c>
      <c r="AX51" s="1359">
        <f>SUM(AL51:AW51)</f>
        <v>1904093859.5999999</v>
      </c>
      <c r="AY51" s="1031"/>
      <c r="AZ51" s="1683">
        <f>SUM(AX4:AX50)</f>
        <v>1904093859.5999999</v>
      </c>
      <c r="BA51" s="1682" t="s">
        <v>568</v>
      </c>
      <c r="BB51" s="1023"/>
      <c r="BC51" s="1023"/>
      <c r="BD51" s="1023"/>
      <c r="BE51" s="1024"/>
      <c r="BF51" s="1020"/>
      <c r="BG51" s="1026"/>
      <c r="BH51" s="1022"/>
    </row>
    <row r="52" spans="1:60" ht="20.25" customHeight="1" thickBot="1">
      <c r="A52" s="1409" t="s">
        <v>554</v>
      </c>
      <c r="B52" s="1325"/>
      <c r="C52" s="1035"/>
      <c r="D52" s="1036"/>
      <c r="E52" s="1036"/>
      <c r="F52" s="1036"/>
      <c r="G52" s="1036"/>
      <c r="H52" s="1036"/>
      <c r="I52" s="1036"/>
      <c r="J52" s="1036"/>
      <c r="K52" s="1036"/>
      <c r="L52" s="1036"/>
      <c r="M52" s="1036"/>
      <c r="N52" s="1037"/>
      <c r="O52" s="1035"/>
      <c r="P52" s="1038"/>
      <c r="Q52" s="1039">
        <f>Q51-Q6-Q10-Q11-Q19-Q50</f>
        <v>54866130</v>
      </c>
      <c r="R52" s="1039">
        <f t="shared" ref="R52:W52" si="9">R51-R6-R10-R11-R19</f>
        <v>53209686</v>
      </c>
      <c r="S52" s="1039">
        <f t="shared" si="9"/>
        <v>54284700</v>
      </c>
      <c r="T52" s="1039">
        <f t="shared" si="9"/>
        <v>55834447</v>
      </c>
      <c r="U52" s="1039">
        <f t="shared" si="9"/>
        <v>50333074</v>
      </c>
      <c r="V52" s="1039">
        <f t="shared" si="9"/>
        <v>52269668</v>
      </c>
      <c r="W52" s="1039">
        <f t="shared" si="9"/>
        <v>51392947</v>
      </c>
      <c r="X52" s="1040">
        <f t="shared" ref="X52:AB52" si="10">X51-X6-X10-X11-X12-X19-X50</f>
        <v>52521159</v>
      </c>
      <c r="Y52" s="1041">
        <f t="shared" si="10"/>
        <v>52812080</v>
      </c>
      <c r="Z52" s="1041">
        <f t="shared" si="10"/>
        <v>52664709</v>
      </c>
      <c r="AA52" s="1041">
        <f t="shared" si="10"/>
        <v>46947615.999999993</v>
      </c>
      <c r="AB52" s="1041">
        <f t="shared" si="10"/>
        <v>45227595</v>
      </c>
      <c r="AC52" s="1041">
        <f>AC51-AC6-AC10-AC11-AC12-AC19-AC50-'12-Yr Prod Summary'!O18</f>
        <v>44388749.000000007</v>
      </c>
      <c r="AD52" s="1041">
        <f>AD51-AD6-AD10-AD11-AD12-AD19-AD50-'12-Yr Prod Summary'!P18</f>
        <v>47870358</v>
      </c>
      <c r="AE52" s="1041">
        <f>AE51-AE6-AE10-AE11-AE12-AE19-AE50-'12-Yr Prod Summary'!Q18</f>
        <v>45354224</v>
      </c>
      <c r="AF52" s="1041">
        <f>AF51-AF6-AF10-AF11-AF12-AF19-AF50-'12-Yr Prod Summary'!R18</f>
        <v>46906117</v>
      </c>
      <c r="AG52" s="1337">
        <f>AG51-AG6-AG10-AG11-AG12-AG19-AG50-'12-Yr Prod Summary'!S18</f>
        <v>45860018</v>
      </c>
      <c r="AH52" s="1337">
        <f>AH51-AH6-AH10-AH11-AH12-AH19-AH50-'12-Yr Prod Summary'!T18</f>
        <v>38123008</v>
      </c>
      <c r="AI52" s="1337">
        <f>AI51-AI6-AI10-AI11-AI12-AI19-AI50-'12-Yr Prod Summary'!U18</f>
        <v>39895863</v>
      </c>
      <c r="AJ52" s="1337">
        <f>AJ51-AJ6-AJ10-AJ11-AJ12-AJ19-AJ50-'12-Yr Prod Summary'!V18</f>
        <v>36816002</v>
      </c>
      <c r="AK52" s="1337">
        <f>AK51-AK6-AK10-AK11-AK12-AK19-AK50-'12-Yr Prod Summary'!W18</f>
        <v>41041525.399999999</v>
      </c>
      <c r="AL52" s="1337">
        <f>SUM(C52:AK52)</f>
        <v>1008619675.4</v>
      </c>
      <c r="AM52" s="1337">
        <f>AM51-AM6-AM10-AM11-AM12-AM19-AM50-'12-Yr Prod Summary'!X18</f>
        <v>45259465.100000001</v>
      </c>
      <c r="AN52" s="1337">
        <f>AN51-AN6-AN10-AN11-AN12-AN19-AN50-'12-Yr Prod Summary'!Y18</f>
        <v>43247600</v>
      </c>
      <c r="AO52" s="1337">
        <f>AO51-AO6-AO10-AO11-AO12-AO19-AO50-'12-Yr Prod Summary'!Z18</f>
        <v>42200967</v>
      </c>
      <c r="AP52" s="1337">
        <f>AP51-AP6-AP10-AP11-AP12-AP19-AP50-'12-Yr Prod Summary'!AA18</f>
        <v>43372627</v>
      </c>
      <c r="AQ52" s="1337">
        <f t="shared" ref="AQ52:AW52" si="11">AQ51-AQ17</f>
        <v>36066539</v>
      </c>
      <c r="AR52" s="1348">
        <f t="shared" si="11"/>
        <v>38926232</v>
      </c>
      <c r="AS52" s="1348">
        <f t="shared" si="11"/>
        <v>35175295</v>
      </c>
      <c r="AT52" s="1459">
        <f t="shared" si="11"/>
        <v>24657858</v>
      </c>
      <c r="AU52" s="1459">
        <f t="shared" si="11"/>
        <v>23121002</v>
      </c>
      <c r="AV52" s="1459">
        <f t="shared" si="11"/>
        <v>19555841</v>
      </c>
      <c r="AW52" s="1459">
        <f t="shared" si="11"/>
        <v>17455627</v>
      </c>
      <c r="AX52" s="1360">
        <f>AX51-AX6-AX10-AX11-AX12-AX14-AX17-AX19-AX50-'12-Yr Prod Summary'!$AC$18</f>
        <v>1882827158.5</v>
      </c>
      <c r="AY52" s="1603"/>
      <c r="AZ52" s="1604"/>
      <c r="BA52" s="1023"/>
      <c r="BB52" s="1023"/>
      <c r="BC52" s="1023"/>
      <c r="BD52" s="1023"/>
      <c r="BE52" s="1024"/>
      <c r="BF52" s="1020"/>
      <c r="BG52" s="1043"/>
      <c r="BH52" s="1042"/>
    </row>
    <row r="53" spans="1:60" ht="19.5" customHeight="1">
      <c r="A53" s="1525"/>
      <c r="B53" s="1045" t="s">
        <v>567</v>
      </c>
      <c r="Y53" s="1042"/>
      <c r="Z53" s="1045"/>
      <c r="AA53" s="1045"/>
      <c r="AB53" s="1045"/>
      <c r="AC53" s="1045"/>
      <c r="AD53" s="1045"/>
      <c r="AE53" s="1045"/>
      <c r="AF53" s="1045"/>
      <c r="AG53" s="1045"/>
      <c r="AH53" s="1045"/>
      <c r="AI53" s="1045"/>
      <c r="AJ53" s="1045"/>
      <c r="AK53" s="1045"/>
      <c r="AM53" s="1045"/>
      <c r="AN53" s="1045"/>
      <c r="AO53" s="1045"/>
      <c r="AP53" s="1045"/>
      <c r="AQ53" s="1045"/>
      <c r="AR53" s="1045"/>
      <c r="AS53" s="1045"/>
      <c r="AT53" s="1045"/>
      <c r="AU53" s="1045"/>
      <c r="AV53" s="1045"/>
      <c r="AW53" s="1045"/>
      <c r="AX53" s="1296"/>
      <c r="BE53" s="1024"/>
      <c r="BG53" s="1047"/>
    </row>
    <row r="54" spans="1:60" ht="52.5" customHeight="1">
      <c r="A54" s="1042"/>
      <c r="B54" s="1605"/>
      <c r="Y54" s="1042"/>
      <c r="Z54" s="1042"/>
      <c r="AA54" s="1042"/>
      <c r="AJ54" s="1048"/>
      <c r="AK54" s="1048">
        <v>41680146.100000001</v>
      </c>
      <c r="AL54" s="1828" t="s">
        <v>389</v>
      </c>
      <c r="AM54" s="1829">
        <v>46413944</v>
      </c>
      <c r="AN54" s="1829">
        <v>43600858</v>
      </c>
      <c r="AO54" s="1829">
        <v>43197477.299999997</v>
      </c>
      <c r="AP54" s="1829">
        <v>43819438</v>
      </c>
      <c r="AQ54" s="1829">
        <v>37300217.200000003</v>
      </c>
      <c r="AR54" s="1829">
        <v>39305978.219999999</v>
      </c>
      <c r="AS54" s="1829">
        <v>35628316.899999999</v>
      </c>
      <c r="AT54" s="1830">
        <v>26157997.460000001</v>
      </c>
      <c r="AU54" s="1830">
        <v>21781531.670000002</v>
      </c>
      <c r="AV54" s="1830">
        <v>19659202.57</v>
      </c>
      <c r="AW54" s="1808">
        <v>18556877.48</v>
      </c>
      <c r="AX54" s="1296" t="s">
        <v>300</v>
      </c>
      <c r="AZ54" s="1605"/>
      <c r="BE54" s="1024"/>
    </row>
    <row r="55" spans="1:60" ht="31.5" customHeight="1">
      <c r="A55" s="1049"/>
      <c r="D55" s="1050"/>
      <c r="E55" s="1050"/>
      <c r="F55" s="1050"/>
      <c r="G55" s="1050"/>
      <c r="H55" s="1050">
        <v>79669</v>
      </c>
      <c r="I55" s="1050">
        <v>84223</v>
      </c>
      <c r="J55" s="1050">
        <v>86221</v>
      </c>
      <c r="K55" s="1050"/>
      <c r="L55" s="1050"/>
      <c r="M55" s="1050"/>
      <c r="O55" s="1050">
        <v>116100</v>
      </c>
      <c r="P55" s="1050">
        <v>164346</v>
      </c>
      <c r="Q55" s="1050">
        <v>140319</v>
      </c>
      <c r="R55" s="1050">
        <v>160200</v>
      </c>
      <c r="S55" s="1050">
        <v>172800</v>
      </c>
      <c r="T55" s="1050">
        <v>176500</v>
      </c>
      <c r="U55" s="1050">
        <v>176200</v>
      </c>
      <c r="V55" s="1050">
        <v>191100</v>
      </c>
      <c r="W55" s="1050">
        <v>207000</v>
      </c>
      <c r="X55" s="1050">
        <v>207010</v>
      </c>
      <c r="Y55" s="1050">
        <v>244500</v>
      </c>
      <c r="Z55" s="1050">
        <v>248300</v>
      </c>
      <c r="AA55" s="1050"/>
      <c r="AB55" s="1050"/>
      <c r="AC55" s="1050"/>
      <c r="AD55" s="1050"/>
      <c r="AE55" s="1050"/>
      <c r="AF55" s="1050"/>
      <c r="AG55" s="1050"/>
      <c r="AH55" s="1050"/>
      <c r="AI55" s="1050"/>
      <c r="AJ55" s="1051"/>
      <c r="AK55" s="1051">
        <f t="shared" ref="AK55:AR55" si="12">AK51-AK54</f>
        <v>-260289.10000000149</v>
      </c>
      <c r="AL55" s="1633" t="s">
        <v>551</v>
      </c>
      <c r="AM55" s="1051">
        <f t="shared" si="12"/>
        <v>-826540</v>
      </c>
      <c r="AN55" s="1051">
        <f t="shared" si="12"/>
        <v>-64682</v>
      </c>
      <c r="AO55" s="1051">
        <f t="shared" si="12"/>
        <v>-747883.29999999702</v>
      </c>
      <c r="AP55" s="1051">
        <f t="shared" si="12"/>
        <v>-185557</v>
      </c>
      <c r="AQ55" s="1051">
        <f t="shared" si="12"/>
        <v>-1023105.200000003</v>
      </c>
      <c r="AR55" s="1051">
        <f t="shared" si="12"/>
        <v>-166099.21999999881</v>
      </c>
      <c r="AS55" s="1051">
        <f>AS51-AS54</f>
        <v>-212781.89999999851</v>
      </c>
      <c r="AT55" s="1051">
        <f>AT51-AT54</f>
        <v>-1315042.4600000009</v>
      </c>
      <c r="AU55" s="1543">
        <f>AU51-AU54</f>
        <v>1525188.3299999982</v>
      </c>
      <c r="AV55" s="1543">
        <f>AV51-AV54</f>
        <v>-20126.570000000298</v>
      </c>
      <c r="AW55" s="1543">
        <f>AW51-AW54</f>
        <v>-1101250.4800000004</v>
      </c>
      <c r="AX55" s="1297" t="s">
        <v>208</v>
      </c>
      <c r="AY55" s="1051"/>
      <c r="BE55" s="1024"/>
    </row>
    <row r="56" spans="1:60">
      <c r="A56" s="1042"/>
      <c r="Y56" s="1042"/>
      <c r="Z56" s="1042"/>
      <c r="AA56" s="1042"/>
      <c r="AI56" s="1052"/>
      <c r="AJ56" s="1052"/>
      <c r="AK56" s="1052"/>
      <c r="AL56" s="1632" t="s">
        <v>548</v>
      </c>
      <c r="AM56" s="1052"/>
      <c r="AN56" s="1052"/>
      <c r="AO56" s="1052"/>
      <c r="AP56" s="1052"/>
      <c r="AQ56" s="1052"/>
      <c r="AR56" s="1052"/>
      <c r="AS56" s="1052"/>
      <c r="AT56" s="1052"/>
      <c r="AU56" s="1052"/>
      <c r="AV56" s="1052"/>
      <c r="AW56" s="1052"/>
      <c r="AX56" s="1297"/>
    </row>
    <row r="57" spans="1:60">
      <c r="A57" s="1042"/>
      <c r="Y57" s="1042"/>
      <c r="Z57" s="1042"/>
      <c r="AA57" s="1042"/>
      <c r="AB57" s="1042" t="s">
        <v>390</v>
      </c>
      <c r="AE57" s="1051">
        <f t="shared" ref="AE57:AI57" si="13">AE51-AD51</f>
        <v>-2499778</v>
      </c>
      <c r="AF57" s="1051">
        <f t="shared" si="13"/>
        <v>1488819</v>
      </c>
      <c r="AG57" s="1051">
        <f t="shared" si="13"/>
        <v>-1040685</v>
      </c>
      <c r="AH57" s="1370">
        <f t="shared" si="13"/>
        <v>-7724550</v>
      </c>
      <c r="AI57" s="1368">
        <f t="shared" si="13"/>
        <v>1748431</v>
      </c>
      <c r="AJ57" s="1370">
        <f>AJ51-AI51</f>
        <v>-3053045</v>
      </c>
      <c r="AK57" s="1368">
        <f>AK51-AJ51</f>
        <v>4320790</v>
      </c>
      <c r="AL57" s="1632" t="s">
        <v>549</v>
      </c>
      <c r="AM57" s="1368">
        <f>AM51-AK51</f>
        <v>4167547</v>
      </c>
      <c r="AN57" s="1370">
        <f t="shared" ref="AN57:AS57" si="14">AN51-AM51</f>
        <v>-2051228</v>
      </c>
      <c r="AO57" s="1370">
        <f t="shared" si="14"/>
        <v>-1086582</v>
      </c>
      <c r="AP57" s="1368">
        <f t="shared" si="14"/>
        <v>1184287</v>
      </c>
      <c r="AQ57" s="1370">
        <f t="shared" si="14"/>
        <v>-7356769</v>
      </c>
      <c r="AR57" s="1372">
        <f t="shared" si="14"/>
        <v>2862767</v>
      </c>
      <c r="AS57" s="1373">
        <f t="shared" si="14"/>
        <v>-3724344</v>
      </c>
      <c r="AT57" s="1373">
        <f>AT51-AS51</f>
        <v>-10572580</v>
      </c>
      <c r="AU57" s="1373">
        <f>AU51-AT51</f>
        <v>-1536235</v>
      </c>
      <c r="AV57" s="1373">
        <f>AV51-AU51</f>
        <v>-3667644</v>
      </c>
      <c r="AW57" s="1373">
        <f>AW51-AV51</f>
        <v>-2183449</v>
      </c>
      <c r="AX57" s="1297" t="s">
        <v>405</v>
      </c>
    </row>
    <row r="58" spans="1:60">
      <c r="A58" s="1042"/>
      <c r="W58" s="1042" t="s">
        <v>212</v>
      </c>
      <c r="X58" s="1042" t="s">
        <v>213</v>
      </c>
      <c r="Y58" s="1051">
        <f>AVERAGE(X51:AG51)</f>
        <v>48472719.859999999</v>
      </c>
      <c r="Z58" s="1042"/>
      <c r="AA58" s="1042"/>
      <c r="AB58" s="1042" t="s">
        <v>391</v>
      </c>
      <c r="AE58" s="1052">
        <f t="shared" ref="AE58:AI58" si="15">AE57/AD51</f>
        <v>-5.1884277408357743E-2</v>
      </c>
      <c r="AF58" s="1052">
        <f t="shared" si="15"/>
        <v>3.2592290686247888E-2</v>
      </c>
      <c r="AG58" s="1052">
        <f t="shared" si="15"/>
        <v>-2.2062940772266209E-2</v>
      </c>
      <c r="AH58" s="1371">
        <f t="shared" si="15"/>
        <v>-0.16745818845730287</v>
      </c>
      <c r="AI58" s="1369">
        <f t="shared" si="15"/>
        <v>4.5527693035467096E-2</v>
      </c>
      <c r="AJ58" s="1371">
        <f>AJ57/AI51</f>
        <v>-7.6036971604382858E-2</v>
      </c>
      <c r="AK58" s="1369">
        <f>AK57/AJ51</f>
        <v>0.11646627124072959</v>
      </c>
      <c r="AL58" s="1632" t="s">
        <v>550</v>
      </c>
      <c r="AM58" s="1369">
        <f>AM57/AK51</f>
        <v>0.10061712670809075</v>
      </c>
      <c r="AN58" s="1371">
        <f t="shared" ref="AN58:AS58" si="16">AN57/AM51</f>
        <v>-4.4995499195347906E-2</v>
      </c>
      <c r="AO58" s="1371">
        <f t="shared" si="16"/>
        <v>-2.4958140558784953E-2</v>
      </c>
      <c r="AP58" s="1369">
        <f t="shared" si="16"/>
        <v>2.7898664943650581E-2</v>
      </c>
      <c r="AQ58" s="1371">
        <f t="shared" si="16"/>
        <v>-0.16860221532895503</v>
      </c>
      <c r="AR58" s="1369">
        <f t="shared" si="16"/>
        <v>7.8913861720855835E-2</v>
      </c>
      <c r="AS58" s="1371">
        <f t="shared" si="16"/>
        <v>-9.515471419827333E-2</v>
      </c>
      <c r="AT58" s="1371">
        <f>AT57/AS51</f>
        <v>-0.2985294447761413</v>
      </c>
      <c r="AU58" s="1371">
        <f>AU57/AT51</f>
        <v>-6.1837853025133283E-2</v>
      </c>
      <c r="AV58" s="1371">
        <f>AV57/AU51</f>
        <v>-0.15736422799947827</v>
      </c>
      <c r="AW58" s="1371">
        <f>AW57/AV51</f>
        <v>-0.11117880494988665</v>
      </c>
      <c r="AX58" s="1296" t="s">
        <v>406</v>
      </c>
    </row>
    <row r="59" spans="1:60">
      <c r="A59" s="1042"/>
      <c r="X59" s="1042" t="s">
        <v>214</v>
      </c>
      <c r="Y59" s="1051">
        <f>MAX(X51:AG51)</f>
        <v>53408065.32</v>
      </c>
      <c r="Z59" s="1042"/>
      <c r="AA59" s="1042"/>
      <c r="AX59" s="1042"/>
    </row>
    <row r="60" spans="1:60">
      <c r="A60" s="1042"/>
      <c r="X60" s="1042" t="s">
        <v>215</v>
      </c>
      <c r="Y60" s="1051">
        <f>MIN(X51:AG51)</f>
        <v>44683792.840000004</v>
      </c>
      <c r="Z60" s="1042"/>
      <c r="AA60" s="1042"/>
      <c r="AX60" s="1042"/>
    </row>
    <row r="61" spans="1:60" ht="14.25" customHeight="1">
      <c r="A61" s="1042"/>
      <c r="C61" s="1399"/>
      <c r="D61" s="1399"/>
      <c r="E61" s="1399"/>
      <c r="F61" s="1399"/>
      <c r="G61" s="1399"/>
      <c r="H61" s="1399"/>
      <c r="I61" s="1399"/>
      <c r="J61" s="1399"/>
      <c r="K61" s="1399"/>
      <c r="L61" s="1399"/>
      <c r="M61" s="1399"/>
      <c r="N61" s="1399"/>
      <c r="O61" s="1399"/>
      <c r="P61" s="1399"/>
      <c r="Q61" s="1399"/>
      <c r="R61" s="1399"/>
      <c r="S61" s="1399"/>
      <c r="T61" s="1399"/>
      <c r="U61" s="1399"/>
      <c r="V61" s="1399"/>
      <c r="W61" s="1399"/>
      <c r="X61" s="1399"/>
      <c r="Y61" s="1399"/>
      <c r="Z61" s="1399"/>
      <c r="AA61" s="1399"/>
      <c r="AB61" s="1399"/>
      <c r="AC61" s="1399"/>
      <c r="AD61" s="1399"/>
      <c r="AE61" s="1399"/>
      <c r="AF61" s="1399"/>
      <c r="AG61" s="1399"/>
      <c r="AH61" s="1407"/>
      <c r="AI61" s="1407"/>
      <c r="AJ61" s="1407"/>
      <c r="AK61" s="1406"/>
      <c r="AL61" s="1406"/>
      <c r="AM61" s="1406"/>
      <c r="AN61" s="1406"/>
      <c r="AO61" s="1407"/>
      <c r="AP61" s="1406"/>
      <c r="AQ61" s="1406"/>
      <c r="AR61" s="1408"/>
      <c r="AS61" s="1408"/>
      <c r="AT61" s="1408"/>
      <c r="AU61" s="1408"/>
      <c r="AV61" s="1408"/>
      <c r="AW61" s="1408"/>
      <c r="AX61" s="1406"/>
      <c r="AY61" s="1406"/>
      <c r="AZ61" s="1406"/>
    </row>
    <row r="62" spans="1:60">
      <c r="A62" s="1042"/>
      <c r="Y62" s="1042"/>
      <c r="Z62" s="1042"/>
      <c r="AA62" s="1042"/>
      <c r="AO62" s="1698"/>
      <c r="AP62" s="1698"/>
      <c r="AQ62" s="1698"/>
      <c r="AR62" s="1698"/>
      <c r="AS62" s="1698"/>
      <c r="AT62" s="1698"/>
      <c r="AX62" s="1042"/>
    </row>
    <row r="63" spans="1:60">
      <c r="A63" s="1042"/>
      <c r="Y63" s="1042"/>
      <c r="Z63" s="1042"/>
      <c r="AA63" s="1042"/>
      <c r="AO63" s="1698"/>
      <c r="AP63" s="1698"/>
      <c r="AQ63" s="1698"/>
      <c r="AR63" s="1698"/>
      <c r="AS63" s="1698"/>
      <c r="AT63" s="1698"/>
      <c r="AX63" s="1042"/>
    </row>
    <row r="64" spans="1:60">
      <c r="A64" s="1042"/>
      <c r="Y64" s="1042"/>
      <c r="Z64" s="1042"/>
      <c r="AA64" s="1042"/>
      <c r="AO64" s="1698"/>
      <c r="AP64" s="1698"/>
      <c r="AQ64" s="1698"/>
      <c r="AR64" s="1698"/>
      <c r="AS64" s="1698"/>
      <c r="AT64" s="1698"/>
      <c r="AX64" s="1042"/>
    </row>
    <row r="65" spans="1:50">
      <c r="A65" s="1042"/>
      <c r="Y65" s="1042"/>
      <c r="Z65" s="1042"/>
      <c r="AA65" s="1042"/>
      <c r="AO65" s="1698"/>
      <c r="AP65" s="1698"/>
      <c r="AQ65" s="1698"/>
      <c r="AR65" s="1698"/>
      <c r="AS65" s="1698"/>
      <c r="AT65" s="1698"/>
      <c r="AX65" s="1042"/>
    </row>
    <row r="66" spans="1:50">
      <c r="A66" s="1042"/>
      <c r="Y66" s="1042"/>
      <c r="Z66" s="1042"/>
      <c r="AA66" s="1042"/>
      <c r="AO66" s="1698"/>
      <c r="AP66" s="1698"/>
      <c r="AQ66" s="1698"/>
      <c r="AR66" s="1698"/>
      <c r="AS66" s="1698"/>
      <c r="AT66" s="1698"/>
      <c r="AX66" s="1042"/>
    </row>
    <row r="67" spans="1:50">
      <c r="A67" s="1042"/>
      <c r="Y67" s="1042"/>
      <c r="Z67" s="1042"/>
      <c r="AA67" s="1042"/>
      <c r="AO67" s="1698"/>
      <c r="AP67" s="1698"/>
      <c r="AQ67" s="1698"/>
      <c r="AR67" s="1698"/>
      <c r="AS67" s="1698"/>
      <c r="AT67" s="1698"/>
      <c r="AX67" s="1042"/>
    </row>
    <row r="68" spans="1:50">
      <c r="A68" s="1042"/>
      <c r="Y68" s="1042"/>
      <c r="Z68" s="1042"/>
      <c r="AA68" s="1042"/>
      <c r="AO68" s="1698"/>
      <c r="AP68" s="1698"/>
      <c r="AQ68" s="1698"/>
      <c r="AR68" s="1698"/>
      <c r="AS68" s="1698"/>
      <c r="AT68" s="1698"/>
      <c r="AX68" s="1042"/>
    </row>
    <row r="69" spans="1:50">
      <c r="A69" s="1042"/>
      <c r="Y69" s="1042"/>
      <c r="Z69" s="1042"/>
      <c r="AA69" s="1042"/>
      <c r="AO69" s="1698"/>
      <c r="AP69" s="1698"/>
      <c r="AQ69" s="1698"/>
      <c r="AR69" s="1698"/>
      <c r="AS69" s="1698"/>
      <c r="AT69" s="1698"/>
      <c r="AX69" s="1042"/>
    </row>
    <row r="70" spans="1:50">
      <c r="A70" s="1042"/>
      <c r="T70" s="1047"/>
      <c r="Y70" s="1042"/>
      <c r="Z70" s="1042"/>
      <c r="AA70" s="1042"/>
      <c r="AO70" s="1698"/>
      <c r="AP70" s="1698"/>
      <c r="AQ70" s="1698"/>
      <c r="AR70" s="1698"/>
      <c r="AS70" s="1698"/>
      <c r="AT70" s="1698"/>
      <c r="AX70" s="1042"/>
    </row>
    <row r="71" spans="1:50">
      <c r="A71" s="1042"/>
      <c r="Y71" s="1042"/>
      <c r="Z71" s="1042"/>
      <c r="AA71" s="1042"/>
      <c r="AO71" s="1698"/>
      <c r="AP71" s="1698"/>
      <c r="AQ71" s="1698"/>
      <c r="AR71" s="1698"/>
      <c r="AS71" s="1698"/>
      <c r="AT71" s="1698"/>
      <c r="AX71" s="1042"/>
    </row>
    <row r="72" spans="1:50">
      <c r="A72" s="1042"/>
      <c r="Y72" s="1042"/>
      <c r="Z72" s="1042"/>
      <c r="AA72" s="1042"/>
      <c r="AX72" s="1042"/>
    </row>
    <row r="73" spans="1:50">
      <c r="A73" s="1042"/>
      <c r="Y73" s="1042"/>
      <c r="Z73" s="1042"/>
      <c r="AA73" s="1042"/>
      <c r="AX73" s="1042"/>
    </row>
    <row r="74" spans="1:50">
      <c r="A74" s="1042"/>
      <c r="Y74" s="1042"/>
      <c r="Z74" s="1042"/>
      <c r="AA74" s="1042"/>
      <c r="AX74" s="1042"/>
    </row>
    <row r="75" spans="1:50">
      <c r="A75" s="1042"/>
      <c r="Y75" s="1042"/>
      <c r="Z75" s="1042"/>
      <c r="AA75" s="1042"/>
      <c r="AX75" s="1042"/>
    </row>
    <row r="76" spans="1:50">
      <c r="A76" s="1042"/>
      <c r="Y76" s="1042"/>
      <c r="Z76" s="1042"/>
      <c r="AA76" s="1042"/>
      <c r="AX76" s="1042"/>
    </row>
    <row r="77" spans="1:50">
      <c r="A77" s="1042"/>
      <c r="Y77" s="1042"/>
      <c r="Z77" s="1042"/>
      <c r="AA77" s="1042"/>
      <c r="AX77" s="1042"/>
    </row>
    <row r="78" spans="1:50">
      <c r="A78" s="1042"/>
      <c r="Y78" s="1042"/>
      <c r="Z78" s="1042"/>
      <c r="AA78" s="1042"/>
      <c r="AX78" s="1042"/>
    </row>
    <row r="79" spans="1:50">
      <c r="A79" s="1042"/>
      <c r="Y79" s="1042"/>
      <c r="Z79" s="1042"/>
      <c r="AA79" s="1042"/>
      <c r="AX79" s="1042"/>
    </row>
    <row r="80" spans="1:50">
      <c r="A80" s="1042"/>
      <c r="Y80" s="1042"/>
      <c r="Z80" s="1042"/>
      <c r="AA80" s="1042"/>
      <c r="AX80" s="1042"/>
    </row>
    <row r="81" spans="1:50">
      <c r="A81" s="1042"/>
      <c r="Y81" s="1042"/>
      <c r="Z81" s="1042"/>
      <c r="AA81" s="1042"/>
      <c r="AX81" s="1042"/>
    </row>
    <row r="82" spans="1:50">
      <c r="A82" s="1042"/>
      <c r="Y82" s="1042"/>
      <c r="Z82" s="1042"/>
      <c r="AA82" s="1042"/>
      <c r="AX82" s="1042"/>
    </row>
    <row r="83" spans="1:50">
      <c r="A83" s="1042"/>
      <c r="Y83" s="1042"/>
      <c r="Z83" s="1042"/>
      <c r="AA83" s="1042"/>
      <c r="AX83" s="1042"/>
    </row>
    <row r="84" spans="1:50">
      <c r="A84" s="1042"/>
      <c r="Y84" s="1042"/>
      <c r="Z84" s="1042"/>
      <c r="AA84" s="1042"/>
      <c r="AX84" s="1042"/>
    </row>
    <row r="85" spans="1:50">
      <c r="A85" s="1042"/>
      <c r="Y85" s="1042"/>
      <c r="Z85" s="1042"/>
      <c r="AA85" s="1042"/>
      <c r="AX85" s="1042"/>
    </row>
    <row r="86" spans="1:50">
      <c r="A86" s="1042"/>
      <c r="Y86" s="1042"/>
      <c r="Z86" s="1042"/>
      <c r="AA86" s="1042"/>
      <c r="AX86" s="1042"/>
    </row>
    <row r="87" spans="1:50">
      <c r="A87" s="1042"/>
      <c r="T87" s="1047"/>
      <c r="Y87" s="1042"/>
      <c r="Z87" s="1042"/>
      <c r="AA87" s="1042"/>
      <c r="AX87" s="1042"/>
    </row>
    <row r="88" spans="1:50">
      <c r="A88" s="1042"/>
      <c r="Y88" s="1042"/>
      <c r="Z88" s="1042"/>
      <c r="AA88" s="1042"/>
      <c r="AX88" s="1042"/>
    </row>
    <row r="89" spans="1:50">
      <c r="A89" s="1042"/>
      <c r="Y89" s="1042"/>
      <c r="Z89" s="1042"/>
      <c r="AA89" s="1042"/>
      <c r="AX89" s="1042"/>
    </row>
    <row r="90" spans="1:50">
      <c r="A90" s="1042"/>
      <c r="Y90" s="1042"/>
      <c r="Z90" s="1042"/>
      <c r="AA90" s="1042"/>
      <c r="AX90" s="1042"/>
    </row>
    <row r="91" spans="1:50">
      <c r="A91" s="1042"/>
      <c r="Y91" s="1042"/>
      <c r="Z91" s="1042"/>
      <c r="AA91" s="1042"/>
      <c r="AX91" s="1042"/>
    </row>
    <row r="92" spans="1:50">
      <c r="A92" s="1042"/>
      <c r="Y92" s="1042"/>
      <c r="Z92" s="1042"/>
      <c r="AA92" s="1042"/>
      <c r="AX92" s="1042"/>
    </row>
    <row r="93" spans="1:50">
      <c r="A93" s="1042"/>
      <c r="Y93" s="1042"/>
      <c r="Z93" s="1042"/>
      <c r="AA93" s="1042"/>
      <c r="AX93" s="1042"/>
    </row>
    <row r="94" spans="1:50">
      <c r="A94" s="1042"/>
      <c r="Y94" s="1042"/>
      <c r="Z94" s="1042"/>
      <c r="AA94" s="1042"/>
      <c r="AX94" s="1042"/>
    </row>
    <row r="95" spans="1:50">
      <c r="A95" s="1042"/>
      <c r="Y95" s="1042"/>
      <c r="Z95" s="1042"/>
      <c r="AA95" s="1042"/>
      <c r="AX95" s="1042"/>
    </row>
    <row r="96" spans="1:50">
      <c r="A96" s="1042"/>
      <c r="Y96" s="1042"/>
      <c r="Z96" s="1042"/>
      <c r="AA96" s="1042"/>
      <c r="AX96" s="1042"/>
    </row>
    <row r="97" spans="1:50">
      <c r="A97" s="1042"/>
      <c r="Y97" s="1042"/>
      <c r="Z97" s="1042"/>
      <c r="AA97" s="1042"/>
      <c r="AX97" s="1042"/>
    </row>
    <row r="98" spans="1:50">
      <c r="A98" s="1042"/>
      <c r="Y98" s="1042"/>
      <c r="Z98" s="1042"/>
      <c r="AA98" s="1042"/>
      <c r="AX98" s="1042"/>
    </row>
    <row r="99" spans="1:50">
      <c r="A99" s="1042"/>
      <c r="Y99" s="1042"/>
      <c r="Z99" s="1042"/>
      <c r="AA99" s="1042"/>
      <c r="AX99" s="1042"/>
    </row>
    <row r="100" spans="1:50">
      <c r="A100" s="1042"/>
      <c r="Y100" s="1042"/>
      <c r="Z100" s="1042"/>
      <c r="AA100" s="1042"/>
      <c r="AX100" s="1042"/>
    </row>
    <row r="101" spans="1:50">
      <c r="A101" s="1042"/>
      <c r="Y101" s="1042"/>
      <c r="Z101" s="1042"/>
      <c r="AA101" s="1042"/>
      <c r="AX101" s="1042"/>
    </row>
    <row r="102" spans="1:50">
      <c r="A102" s="1042"/>
      <c r="Y102" s="1042"/>
      <c r="Z102" s="1042"/>
      <c r="AA102" s="1042"/>
      <c r="AX102" s="1042"/>
    </row>
    <row r="103" spans="1:50">
      <c r="A103" s="1042"/>
      <c r="Y103" s="1042"/>
      <c r="Z103" s="1042"/>
      <c r="AA103" s="1042"/>
      <c r="AX103" s="1042"/>
    </row>
    <row r="104" spans="1:50">
      <c r="A104" s="1042"/>
      <c r="Y104" s="1042"/>
      <c r="Z104" s="1042"/>
      <c r="AA104" s="1042"/>
      <c r="AX104" s="1042"/>
    </row>
    <row r="105" spans="1:50">
      <c r="A105" s="1042"/>
      <c r="Y105" s="1042"/>
      <c r="Z105" s="1042"/>
      <c r="AA105" s="1042"/>
      <c r="AX105" s="1042"/>
    </row>
    <row r="106" spans="1:50">
      <c r="A106" s="1042"/>
      <c r="Y106" s="1042"/>
      <c r="Z106" s="1042"/>
      <c r="AA106" s="1042"/>
      <c r="AX106" s="1042"/>
    </row>
    <row r="107" spans="1:50">
      <c r="A107" s="1042"/>
      <c r="Y107" s="1042"/>
      <c r="Z107" s="1042"/>
      <c r="AA107" s="1042"/>
      <c r="AX107" s="1042"/>
    </row>
    <row r="108" spans="1:50">
      <c r="A108" s="1042"/>
      <c r="Y108" s="1042"/>
      <c r="Z108" s="1042"/>
      <c r="AA108" s="1042"/>
      <c r="AX108" s="1042"/>
    </row>
    <row r="109" spans="1:50">
      <c r="A109" s="1042"/>
      <c r="Y109" s="1042"/>
      <c r="Z109" s="1042"/>
      <c r="AA109" s="1042"/>
      <c r="AX109" s="1042"/>
    </row>
    <row r="110" spans="1:50">
      <c r="A110" s="1042"/>
      <c r="Y110" s="1042"/>
      <c r="Z110" s="1042"/>
      <c r="AA110" s="1042"/>
      <c r="AX110" s="1042"/>
    </row>
    <row r="111" spans="1:50">
      <c r="A111" s="1042"/>
      <c r="Y111" s="1042"/>
      <c r="Z111" s="1042"/>
      <c r="AA111" s="1042"/>
      <c r="AX111" s="1042"/>
    </row>
    <row r="112" spans="1:50">
      <c r="A112" s="1042"/>
      <c r="Y112" s="1042"/>
      <c r="Z112" s="1042"/>
      <c r="AA112" s="1042"/>
      <c r="AX112" s="1042"/>
    </row>
    <row r="113" spans="1:50">
      <c r="A113" s="1042"/>
      <c r="Y113" s="1042"/>
      <c r="Z113" s="1042"/>
      <c r="AA113" s="1042"/>
      <c r="AX113" s="1042"/>
    </row>
    <row r="114" spans="1:50">
      <c r="A114" s="1042"/>
      <c r="Y114" s="1042"/>
      <c r="Z114" s="1042"/>
      <c r="AA114" s="1042"/>
      <c r="AX114" s="1042"/>
    </row>
    <row r="115" spans="1:50">
      <c r="A115" s="1042"/>
      <c r="Y115" s="1042"/>
      <c r="Z115" s="1042"/>
      <c r="AA115" s="1042"/>
      <c r="AX115" s="1042"/>
    </row>
    <row r="116" spans="1:50">
      <c r="A116" s="1042"/>
      <c r="Y116" s="1042"/>
      <c r="Z116" s="1042"/>
      <c r="AA116" s="1042"/>
      <c r="AX116" s="1042"/>
    </row>
    <row r="117" spans="1:50">
      <c r="A117" s="1042"/>
      <c r="Y117" s="1042"/>
      <c r="Z117" s="1042"/>
      <c r="AA117" s="1042"/>
      <c r="AX117" s="1042"/>
    </row>
    <row r="118" spans="1:50">
      <c r="A118" s="1042"/>
      <c r="Y118" s="1042"/>
      <c r="Z118" s="1042"/>
      <c r="AA118" s="1042"/>
      <c r="AX118" s="1042"/>
    </row>
    <row r="119" spans="1:50">
      <c r="A119" s="1042"/>
      <c r="Y119" s="1042"/>
      <c r="Z119" s="1042"/>
      <c r="AA119" s="1042"/>
      <c r="AX119" s="1042"/>
    </row>
    <row r="120" spans="1:50">
      <c r="A120" s="1042"/>
      <c r="Y120" s="1042"/>
      <c r="Z120" s="1042"/>
      <c r="AA120" s="1042"/>
      <c r="AX120" s="1042"/>
    </row>
    <row r="121" spans="1:50">
      <c r="A121" s="1042"/>
      <c r="Y121" s="1042"/>
      <c r="Z121" s="1042"/>
      <c r="AA121" s="1042"/>
      <c r="AX121" s="1042"/>
    </row>
    <row r="122" spans="1:50">
      <c r="A122" s="1042"/>
      <c r="Y122" s="1042"/>
      <c r="Z122" s="1042"/>
      <c r="AA122" s="1042"/>
      <c r="AX122" s="1042"/>
    </row>
    <row r="123" spans="1:50">
      <c r="A123" s="1042"/>
      <c r="Y123" s="1042"/>
      <c r="Z123" s="1042"/>
      <c r="AA123" s="1042"/>
      <c r="AX123" s="1042"/>
    </row>
    <row r="124" spans="1:50">
      <c r="A124" s="1042"/>
      <c r="Y124" s="1042"/>
      <c r="Z124" s="1042"/>
      <c r="AA124" s="1042"/>
      <c r="AX124" s="1042"/>
    </row>
    <row r="125" spans="1:50">
      <c r="A125" s="1042"/>
      <c r="Y125" s="1042"/>
      <c r="Z125" s="1042"/>
      <c r="AA125" s="1042"/>
      <c r="AX125" s="1042"/>
    </row>
    <row r="126" spans="1:50">
      <c r="A126" s="1042"/>
      <c r="Y126" s="1042"/>
      <c r="Z126" s="1042"/>
      <c r="AA126" s="1042"/>
      <c r="AX126" s="1042"/>
    </row>
    <row r="127" spans="1:50">
      <c r="A127" s="1042"/>
      <c r="Y127" s="1042"/>
      <c r="Z127" s="1042"/>
      <c r="AA127" s="1042"/>
      <c r="AX127" s="1042"/>
    </row>
    <row r="128" spans="1:50">
      <c r="A128" s="1042"/>
      <c r="Y128" s="1042"/>
      <c r="Z128" s="1042"/>
      <c r="AA128" s="1042"/>
      <c r="AX128" s="1042"/>
    </row>
    <row r="129" spans="1:50">
      <c r="A129" s="1042"/>
      <c r="Y129" s="1042"/>
      <c r="Z129" s="1042"/>
      <c r="AA129" s="1042"/>
      <c r="AX129" s="1042"/>
    </row>
    <row r="130" spans="1:50">
      <c r="A130" s="1042"/>
      <c r="Y130" s="1042"/>
      <c r="Z130" s="1042"/>
      <c r="AA130" s="1042"/>
      <c r="AX130" s="1042"/>
    </row>
    <row r="131" spans="1:50">
      <c r="A131" s="1042"/>
      <c r="Y131" s="1042"/>
      <c r="Z131" s="1042"/>
      <c r="AA131" s="1042"/>
      <c r="AX131" s="1042"/>
    </row>
    <row r="132" spans="1:50">
      <c r="A132" s="1042"/>
      <c r="Y132" s="1042"/>
      <c r="Z132" s="1042"/>
      <c r="AA132" s="1042"/>
      <c r="AX132" s="1042"/>
    </row>
    <row r="133" spans="1:50">
      <c r="A133" s="1042"/>
      <c r="Y133" s="1042"/>
      <c r="Z133" s="1042"/>
      <c r="AA133" s="1042"/>
      <c r="AX133" s="1042"/>
    </row>
    <row r="134" spans="1:50">
      <c r="A134" s="1042"/>
      <c r="Y134" s="1042"/>
      <c r="Z134" s="1042"/>
      <c r="AA134" s="1042"/>
      <c r="AX134" s="1042"/>
    </row>
    <row r="135" spans="1:50">
      <c r="A135" s="1042"/>
      <c r="Y135" s="1042"/>
      <c r="Z135" s="1042"/>
      <c r="AA135" s="1042"/>
      <c r="AX135" s="1042"/>
    </row>
    <row r="136" spans="1:50">
      <c r="A136" s="1042"/>
      <c r="Y136" s="1042"/>
      <c r="Z136" s="1042"/>
      <c r="AA136" s="1042"/>
      <c r="AX136" s="1042"/>
    </row>
    <row r="137" spans="1:50">
      <c r="A137" s="1042"/>
      <c r="Y137" s="1042"/>
      <c r="Z137" s="1042"/>
      <c r="AA137" s="1042"/>
      <c r="AX137" s="1042"/>
    </row>
    <row r="138" spans="1:50">
      <c r="A138" s="1042"/>
      <c r="Y138" s="1042"/>
      <c r="Z138" s="1042"/>
      <c r="AA138" s="1042"/>
      <c r="AX138" s="1042"/>
    </row>
    <row r="139" spans="1:50">
      <c r="A139" s="1042"/>
      <c r="Y139" s="1042"/>
      <c r="Z139" s="1042"/>
      <c r="AA139" s="1042"/>
      <c r="AX139" s="1042"/>
    </row>
    <row r="140" spans="1:50">
      <c r="A140" s="1042"/>
      <c r="Y140" s="1042"/>
      <c r="Z140" s="1042"/>
      <c r="AA140" s="1042"/>
      <c r="AX140" s="1042"/>
    </row>
    <row r="141" spans="1:50">
      <c r="A141" s="1042"/>
      <c r="Y141" s="1042"/>
      <c r="Z141" s="1042"/>
      <c r="AA141" s="1042"/>
      <c r="AX141" s="1042"/>
    </row>
    <row r="142" spans="1:50">
      <c r="A142" s="1042"/>
      <c r="Y142" s="1042"/>
      <c r="Z142" s="1042"/>
      <c r="AA142" s="1042"/>
      <c r="AX142" s="1042"/>
    </row>
    <row r="143" spans="1:50">
      <c r="A143" s="1042"/>
      <c r="Y143" s="1042"/>
      <c r="Z143" s="1042"/>
      <c r="AA143" s="1042"/>
      <c r="AX143" s="1042"/>
    </row>
    <row r="144" spans="1:50">
      <c r="A144" s="1042"/>
      <c r="Y144" s="1042"/>
      <c r="Z144" s="1042"/>
      <c r="AA144" s="1042"/>
      <c r="AX144" s="1042"/>
    </row>
    <row r="145" spans="1:50">
      <c r="A145" s="1042"/>
      <c r="Y145" s="1042"/>
      <c r="Z145" s="1042"/>
      <c r="AA145" s="1042"/>
      <c r="AX145" s="1042"/>
    </row>
    <row r="146" spans="1:50">
      <c r="A146" s="1042"/>
      <c r="Y146" s="1042"/>
      <c r="Z146" s="1042"/>
      <c r="AA146" s="1042"/>
      <c r="AX146" s="1042"/>
    </row>
    <row r="147" spans="1:50">
      <c r="A147" s="1042"/>
      <c r="Y147" s="1042"/>
      <c r="Z147" s="1042"/>
      <c r="AA147" s="1042"/>
      <c r="AX147" s="1042"/>
    </row>
    <row r="148" spans="1:50">
      <c r="A148" s="1042"/>
      <c r="Y148" s="1042"/>
      <c r="Z148" s="1042"/>
      <c r="AA148" s="1042"/>
      <c r="AX148" s="1042"/>
    </row>
    <row r="149" spans="1:50">
      <c r="A149" s="1042"/>
      <c r="Y149" s="1042"/>
      <c r="Z149" s="1042"/>
      <c r="AA149" s="1042"/>
      <c r="AX149" s="1042"/>
    </row>
    <row r="150" spans="1:50">
      <c r="A150" s="1042"/>
      <c r="Y150" s="1042"/>
      <c r="Z150" s="1042"/>
      <c r="AA150" s="1042"/>
      <c r="AX150" s="1042"/>
    </row>
    <row r="151" spans="1:50">
      <c r="A151" s="1042"/>
      <c r="Y151" s="1042"/>
      <c r="Z151" s="1042"/>
      <c r="AA151" s="1042"/>
      <c r="AX151" s="1042"/>
    </row>
    <row r="152" spans="1:50">
      <c r="A152" s="1042"/>
      <c r="Y152" s="1042"/>
      <c r="Z152" s="1042"/>
      <c r="AA152" s="1042"/>
      <c r="AX152" s="1042"/>
    </row>
    <row r="153" spans="1:50">
      <c r="A153" s="1042"/>
      <c r="Y153" s="1042"/>
      <c r="Z153" s="1042"/>
      <c r="AA153" s="1042"/>
      <c r="AX153" s="1042"/>
    </row>
    <row r="154" spans="1:50">
      <c r="A154" s="1042"/>
      <c r="Y154" s="1042"/>
      <c r="Z154" s="1042"/>
      <c r="AA154" s="1042"/>
      <c r="AX154" s="1042"/>
    </row>
    <row r="155" spans="1:50">
      <c r="A155" s="1042"/>
      <c r="Y155" s="1042"/>
      <c r="Z155" s="1042"/>
      <c r="AA155" s="1042"/>
      <c r="AX155" s="1042"/>
    </row>
    <row r="156" spans="1:50">
      <c r="A156" s="1042"/>
      <c r="Y156" s="1042"/>
      <c r="Z156" s="1042"/>
      <c r="AA156" s="1042"/>
      <c r="AX156" s="1042"/>
    </row>
    <row r="157" spans="1:50">
      <c r="A157" s="1042"/>
      <c r="Y157" s="1042"/>
      <c r="Z157" s="1042"/>
      <c r="AA157" s="1042"/>
      <c r="AX157" s="1042"/>
    </row>
    <row r="158" spans="1:50">
      <c r="A158" s="1042"/>
      <c r="Y158" s="1042"/>
      <c r="Z158" s="1042"/>
      <c r="AA158" s="1042"/>
      <c r="AX158" s="1042"/>
    </row>
    <row r="159" spans="1:50">
      <c r="A159" s="1042"/>
      <c r="Y159" s="1042"/>
      <c r="Z159" s="1042"/>
      <c r="AA159" s="1042"/>
      <c r="AX159" s="1042"/>
    </row>
    <row r="160" spans="1:50">
      <c r="A160" s="1042"/>
      <c r="Y160" s="1042"/>
      <c r="Z160" s="1042"/>
      <c r="AA160" s="1042"/>
      <c r="AX160" s="1042"/>
    </row>
    <row r="161" spans="1:50">
      <c r="A161" s="1042"/>
      <c r="Y161" s="1042"/>
      <c r="Z161" s="1042"/>
      <c r="AA161" s="1042"/>
      <c r="AX161" s="1042"/>
    </row>
    <row r="162" spans="1:50">
      <c r="A162" s="1042"/>
      <c r="Y162" s="1042"/>
      <c r="Z162" s="1042"/>
      <c r="AA162" s="1042"/>
      <c r="AX162" s="1042"/>
    </row>
    <row r="163" spans="1:50">
      <c r="A163" s="1042"/>
      <c r="Y163" s="1042"/>
      <c r="Z163" s="1042"/>
      <c r="AA163" s="1042"/>
      <c r="AX163" s="1042"/>
    </row>
    <row r="164" spans="1:50">
      <c r="A164" s="1042"/>
      <c r="Y164" s="1042"/>
      <c r="Z164" s="1042"/>
      <c r="AA164" s="1042"/>
      <c r="AX164" s="1042"/>
    </row>
    <row r="165" spans="1:50">
      <c r="A165" s="1042"/>
      <c r="Y165" s="1042"/>
      <c r="Z165" s="1042"/>
      <c r="AA165" s="1042"/>
      <c r="AX165" s="1042"/>
    </row>
    <row r="166" spans="1:50">
      <c r="A166" s="1042"/>
      <c r="Y166" s="1042"/>
      <c r="Z166" s="1042"/>
      <c r="AA166" s="1042"/>
      <c r="AX166" s="1042"/>
    </row>
    <row r="167" spans="1:50">
      <c r="A167" s="1042"/>
      <c r="Y167" s="1042"/>
      <c r="Z167" s="1042"/>
      <c r="AA167" s="1042"/>
      <c r="AX167" s="1042"/>
    </row>
    <row r="168" spans="1:50">
      <c r="A168" s="1042"/>
      <c r="Y168" s="1042"/>
      <c r="Z168" s="1042"/>
      <c r="AA168" s="1042"/>
      <c r="AX168" s="1042"/>
    </row>
    <row r="169" spans="1:50">
      <c r="A169" s="1042"/>
      <c r="Y169" s="1042"/>
      <c r="Z169" s="1042"/>
      <c r="AA169" s="1042"/>
      <c r="AX169" s="1042"/>
    </row>
    <row r="170" spans="1:50">
      <c r="A170" s="1042"/>
      <c r="Y170" s="1042"/>
      <c r="Z170" s="1042"/>
      <c r="AA170" s="1042"/>
      <c r="AX170" s="1042"/>
    </row>
    <row r="171" spans="1:50">
      <c r="A171" s="1042"/>
      <c r="Y171" s="1042"/>
      <c r="Z171" s="1042"/>
      <c r="AA171" s="1042"/>
      <c r="AX171" s="1042"/>
    </row>
    <row r="172" spans="1:50">
      <c r="A172" s="1042"/>
      <c r="Y172" s="1042"/>
      <c r="Z172" s="1042"/>
      <c r="AA172" s="1042"/>
      <c r="AX172" s="1042"/>
    </row>
    <row r="173" spans="1:50">
      <c r="A173" s="1042"/>
      <c r="Y173" s="1042"/>
      <c r="Z173" s="1042"/>
      <c r="AA173" s="1042"/>
      <c r="AX173" s="1042"/>
    </row>
    <row r="174" spans="1:50">
      <c r="A174" s="1042"/>
      <c r="Y174" s="1042"/>
      <c r="Z174" s="1042"/>
      <c r="AA174" s="1042"/>
      <c r="AX174" s="1042"/>
    </row>
    <row r="175" spans="1:50">
      <c r="A175" s="1042"/>
      <c r="Y175" s="1042"/>
      <c r="Z175" s="1042"/>
      <c r="AA175" s="1042"/>
      <c r="AX175" s="1042"/>
    </row>
    <row r="176" spans="1:50">
      <c r="A176" s="1042"/>
      <c r="Y176" s="1042"/>
      <c r="Z176" s="1042"/>
      <c r="AA176" s="1042"/>
      <c r="AX176" s="1042"/>
    </row>
    <row r="177" spans="1:50">
      <c r="A177" s="1042"/>
      <c r="Y177" s="1042"/>
      <c r="Z177" s="1042"/>
      <c r="AA177" s="1042"/>
      <c r="AX177" s="1042"/>
    </row>
    <row r="178" spans="1:50">
      <c r="A178" s="1042"/>
      <c r="Y178" s="1042"/>
      <c r="Z178" s="1042"/>
      <c r="AA178" s="1042"/>
      <c r="AX178" s="1042"/>
    </row>
    <row r="179" spans="1:50">
      <c r="A179" s="1042"/>
      <c r="Y179" s="1042"/>
      <c r="Z179" s="1042"/>
      <c r="AA179" s="1042"/>
      <c r="AX179" s="1042"/>
    </row>
    <row r="180" spans="1:50">
      <c r="A180" s="1042"/>
      <c r="Y180" s="1042"/>
      <c r="Z180" s="1042"/>
      <c r="AA180" s="1042"/>
      <c r="AX180" s="1042"/>
    </row>
    <row r="181" spans="1:50">
      <c r="A181" s="1042"/>
      <c r="Y181" s="1042"/>
      <c r="Z181" s="1042"/>
      <c r="AA181" s="1042"/>
      <c r="AX181" s="1042"/>
    </row>
    <row r="182" spans="1:50">
      <c r="A182" s="1042"/>
      <c r="Y182" s="1042"/>
      <c r="Z182" s="1042"/>
      <c r="AA182" s="1042"/>
      <c r="AX182" s="1042"/>
    </row>
    <row r="183" spans="1:50">
      <c r="A183" s="1042"/>
      <c r="Y183" s="1042"/>
      <c r="Z183" s="1042"/>
      <c r="AA183" s="1042"/>
      <c r="AX183" s="1042"/>
    </row>
    <row r="184" spans="1:50">
      <c r="A184" s="1042"/>
      <c r="Y184" s="1042"/>
      <c r="Z184" s="1042"/>
      <c r="AA184" s="1042"/>
      <c r="AX184" s="1042"/>
    </row>
    <row r="185" spans="1:50">
      <c r="A185" s="1042"/>
      <c r="Y185" s="1042"/>
      <c r="Z185" s="1042"/>
      <c r="AA185" s="1042"/>
      <c r="AX185" s="1042"/>
    </row>
    <row r="186" spans="1:50">
      <c r="A186" s="1042"/>
      <c r="Y186" s="1042"/>
      <c r="Z186" s="1042"/>
      <c r="AA186" s="1042"/>
      <c r="AX186" s="1042"/>
    </row>
    <row r="187" spans="1:50">
      <c r="A187" s="1042"/>
      <c r="Y187" s="1042"/>
      <c r="Z187" s="1042"/>
      <c r="AA187" s="1042"/>
      <c r="AX187" s="1042"/>
    </row>
    <row r="188" spans="1:50">
      <c r="A188" s="1042"/>
      <c r="Y188" s="1042"/>
      <c r="Z188" s="1042"/>
      <c r="AA188" s="1042"/>
      <c r="AX188" s="1042"/>
    </row>
    <row r="189" spans="1:50">
      <c r="A189" s="1042"/>
      <c r="Y189" s="1042"/>
      <c r="Z189" s="1042"/>
      <c r="AA189" s="1042"/>
      <c r="AX189" s="1042"/>
    </row>
    <row r="190" spans="1:50">
      <c r="A190" s="1042"/>
      <c r="Y190" s="1042"/>
      <c r="Z190" s="1042"/>
      <c r="AA190" s="1042"/>
      <c r="AX190" s="1042"/>
    </row>
    <row r="191" spans="1:50">
      <c r="A191" s="1042"/>
      <c r="Y191" s="1042"/>
      <c r="Z191" s="1042"/>
      <c r="AA191" s="1042"/>
      <c r="AX191" s="1042"/>
    </row>
    <row r="192" spans="1:50">
      <c r="A192" s="1042"/>
      <c r="Y192" s="1042"/>
      <c r="Z192" s="1042"/>
      <c r="AA192" s="1042"/>
      <c r="AX192" s="1042"/>
    </row>
    <row r="193" spans="1:50">
      <c r="A193" s="1042"/>
      <c r="Y193" s="1042"/>
      <c r="Z193" s="1042"/>
      <c r="AA193" s="1042"/>
      <c r="AX193" s="1042"/>
    </row>
    <row r="194" spans="1:50">
      <c r="A194" s="1042"/>
      <c r="Y194" s="1042"/>
      <c r="Z194" s="1042"/>
      <c r="AA194" s="1042"/>
      <c r="AX194" s="1042"/>
    </row>
    <row r="195" spans="1:50">
      <c r="A195" s="1042"/>
      <c r="Y195" s="1042"/>
      <c r="Z195" s="1042"/>
      <c r="AA195" s="1042"/>
      <c r="AX195" s="1042"/>
    </row>
    <row r="196" spans="1:50">
      <c r="A196" s="1042"/>
      <c r="Y196" s="1042"/>
      <c r="Z196" s="1042"/>
      <c r="AA196" s="1042"/>
      <c r="AX196" s="1042"/>
    </row>
    <row r="197" spans="1:50">
      <c r="A197" s="1042"/>
      <c r="Y197" s="1042"/>
      <c r="Z197" s="1042"/>
      <c r="AA197" s="1042"/>
      <c r="AX197" s="1042"/>
    </row>
    <row r="198" spans="1:50">
      <c r="A198" s="1042"/>
      <c r="Y198" s="1042"/>
      <c r="Z198" s="1042"/>
      <c r="AA198" s="1042"/>
      <c r="AX198" s="1042"/>
    </row>
    <row r="199" spans="1:50">
      <c r="A199" s="1042"/>
      <c r="Y199" s="1042"/>
      <c r="Z199" s="1042"/>
      <c r="AA199" s="1042"/>
      <c r="AX199" s="1042"/>
    </row>
    <row r="200" spans="1:50">
      <c r="A200" s="1042"/>
      <c r="Y200" s="1042"/>
      <c r="Z200" s="1042"/>
      <c r="AA200" s="1042"/>
      <c r="AX200" s="1042"/>
    </row>
    <row r="201" spans="1:50">
      <c r="A201" s="1042"/>
      <c r="Y201" s="1042"/>
      <c r="Z201" s="1042"/>
      <c r="AA201" s="1042"/>
      <c r="AX201" s="1042"/>
    </row>
    <row r="202" spans="1:50">
      <c r="A202" s="1042"/>
      <c r="Y202" s="1042"/>
      <c r="Z202" s="1042"/>
      <c r="AA202" s="1042"/>
      <c r="AX202" s="1042"/>
    </row>
    <row r="203" spans="1:50">
      <c r="A203" s="1042"/>
      <c r="Y203" s="1042"/>
      <c r="Z203" s="1042"/>
      <c r="AA203" s="1042"/>
      <c r="AX203" s="1042"/>
    </row>
    <row r="204" spans="1:50">
      <c r="A204" s="1042"/>
      <c r="Y204" s="1042"/>
      <c r="Z204" s="1042"/>
      <c r="AA204" s="1042"/>
      <c r="AX204" s="1042"/>
    </row>
    <row r="205" spans="1:50">
      <c r="A205" s="1042"/>
      <c r="Y205" s="1042"/>
      <c r="Z205" s="1042"/>
      <c r="AA205" s="1042"/>
      <c r="AX205" s="1042"/>
    </row>
    <row r="206" spans="1:50">
      <c r="A206" s="1042"/>
      <c r="Y206" s="1042"/>
      <c r="Z206" s="1042"/>
      <c r="AA206" s="1042"/>
      <c r="AX206" s="1042"/>
    </row>
    <row r="207" spans="1:50">
      <c r="A207" s="1042"/>
      <c r="Y207" s="1042"/>
      <c r="Z207" s="1042"/>
      <c r="AA207" s="1042"/>
      <c r="AX207" s="1042"/>
    </row>
    <row r="208" spans="1:50">
      <c r="A208" s="1042"/>
      <c r="Y208" s="1042"/>
      <c r="Z208" s="1042"/>
      <c r="AA208" s="1042"/>
      <c r="AX208" s="1042"/>
    </row>
    <row r="209" spans="1:50">
      <c r="A209" s="1042"/>
      <c r="Y209" s="1042"/>
      <c r="Z209" s="1042"/>
      <c r="AA209" s="1042"/>
      <c r="AX209" s="1042"/>
    </row>
    <row r="210" spans="1:50">
      <c r="A210" s="1042"/>
      <c r="Y210" s="1042"/>
      <c r="Z210" s="1042"/>
      <c r="AA210" s="1042"/>
      <c r="AX210" s="1042"/>
    </row>
    <row r="211" spans="1:50">
      <c r="A211" s="1042"/>
      <c r="Y211" s="1042"/>
      <c r="Z211" s="1042"/>
      <c r="AA211" s="1042"/>
      <c r="AX211" s="1042"/>
    </row>
    <row r="212" spans="1:50">
      <c r="A212" s="1042"/>
      <c r="Y212" s="1042"/>
      <c r="Z212" s="1042"/>
      <c r="AA212" s="1042"/>
      <c r="AX212" s="1042"/>
    </row>
    <row r="213" spans="1:50">
      <c r="A213" s="1042"/>
      <c r="Y213" s="1042"/>
      <c r="Z213" s="1042"/>
      <c r="AA213" s="1042"/>
      <c r="AX213" s="1042"/>
    </row>
    <row r="214" spans="1:50">
      <c r="A214" s="1042"/>
      <c r="Y214" s="1042"/>
      <c r="Z214" s="1042"/>
      <c r="AA214" s="1042"/>
      <c r="AX214" s="1042"/>
    </row>
    <row r="215" spans="1:50">
      <c r="A215" s="1042"/>
      <c r="Y215" s="1042"/>
      <c r="Z215" s="1042"/>
      <c r="AA215" s="1042"/>
      <c r="AX215" s="1042"/>
    </row>
    <row r="216" spans="1:50">
      <c r="A216" s="1042"/>
      <c r="Y216" s="1042"/>
      <c r="Z216" s="1042"/>
      <c r="AA216" s="1042"/>
      <c r="AX216" s="1042"/>
    </row>
    <row r="217" spans="1:50">
      <c r="A217" s="1042"/>
      <c r="Y217" s="1042"/>
      <c r="Z217" s="1042"/>
      <c r="AA217" s="1042"/>
      <c r="AX217" s="1042"/>
    </row>
    <row r="218" spans="1:50">
      <c r="A218" s="1042"/>
      <c r="Y218" s="1042"/>
      <c r="Z218" s="1042"/>
      <c r="AA218" s="1042"/>
      <c r="AX218" s="1042"/>
    </row>
    <row r="219" spans="1:50">
      <c r="A219" s="1042"/>
      <c r="Y219" s="1042"/>
      <c r="Z219" s="1042"/>
      <c r="AA219" s="1042"/>
      <c r="AX219" s="1042"/>
    </row>
    <row r="220" spans="1:50">
      <c r="A220" s="1042"/>
      <c r="Y220" s="1042"/>
      <c r="Z220" s="1042"/>
      <c r="AA220" s="1042"/>
      <c r="AX220" s="1042"/>
    </row>
    <row r="221" spans="1:50">
      <c r="A221" s="1042"/>
      <c r="Y221" s="1042"/>
      <c r="Z221" s="1042"/>
      <c r="AA221" s="1042"/>
      <c r="AX221" s="1042"/>
    </row>
    <row r="222" spans="1:50">
      <c r="A222" s="1042"/>
      <c r="Y222" s="1042"/>
      <c r="Z222" s="1042"/>
      <c r="AA222" s="1042"/>
      <c r="AX222" s="1042"/>
    </row>
    <row r="223" spans="1:50">
      <c r="A223" s="1042"/>
      <c r="Y223" s="1042"/>
      <c r="Z223" s="1042"/>
      <c r="AA223" s="1042"/>
      <c r="AX223" s="1042"/>
    </row>
    <row r="224" spans="1:50">
      <c r="A224" s="1042"/>
      <c r="Y224" s="1042"/>
      <c r="Z224" s="1042"/>
      <c r="AA224" s="1042"/>
      <c r="AX224" s="1042"/>
    </row>
    <row r="225" spans="1:50">
      <c r="A225" s="1042"/>
      <c r="Y225" s="1042"/>
      <c r="Z225" s="1042"/>
      <c r="AA225" s="1042"/>
      <c r="AX225" s="1042"/>
    </row>
    <row r="226" spans="1:50">
      <c r="A226" s="1042"/>
      <c r="Y226" s="1042"/>
      <c r="Z226" s="1042"/>
      <c r="AA226" s="1042"/>
      <c r="AX226" s="1042"/>
    </row>
    <row r="227" spans="1:50">
      <c r="A227" s="1042"/>
      <c r="Y227" s="1042"/>
      <c r="Z227" s="1042"/>
      <c r="AA227" s="1042"/>
      <c r="AX227" s="1042"/>
    </row>
    <row r="228" spans="1:50">
      <c r="A228" s="1042"/>
      <c r="Y228" s="1042"/>
      <c r="Z228" s="1042"/>
      <c r="AA228" s="1042"/>
      <c r="AX228" s="1042"/>
    </row>
    <row r="229" spans="1:50">
      <c r="A229" s="1042"/>
      <c r="Y229" s="1042"/>
      <c r="Z229" s="1042"/>
      <c r="AA229" s="1042"/>
      <c r="AX229" s="1042"/>
    </row>
    <row r="230" spans="1:50">
      <c r="A230" s="1042"/>
      <c r="Y230" s="1042"/>
      <c r="Z230" s="1042"/>
      <c r="AA230" s="1042"/>
      <c r="AX230" s="1042"/>
    </row>
    <row r="231" spans="1:50">
      <c r="A231" s="1042"/>
      <c r="Y231" s="1042"/>
      <c r="Z231" s="1042"/>
      <c r="AA231" s="1042"/>
      <c r="AX231" s="1042"/>
    </row>
    <row r="232" spans="1:50">
      <c r="A232" s="1042"/>
      <c r="Y232" s="1042"/>
      <c r="Z232" s="1042"/>
      <c r="AA232" s="1042"/>
      <c r="AX232" s="1042"/>
    </row>
    <row r="233" spans="1:50">
      <c r="A233" s="1042"/>
      <c r="Y233" s="1042"/>
      <c r="Z233" s="1042"/>
      <c r="AA233" s="1042"/>
      <c r="AX233" s="1042"/>
    </row>
    <row r="234" spans="1:50">
      <c r="A234" s="1042"/>
      <c r="Y234" s="1042"/>
      <c r="Z234" s="1042"/>
      <c r="AA234" s="1042"/>
      <c r="AX234" s="1042"/>
    </row>
    <row r="235" spans="1:50">
      <c r="A235" s="1042"/>
      <c r="Y235" s="1042"/>
      <c r="Z235" s="1042"/>
      <c r="AA235" s="1042"/>
      <c r="AX235" s="1042"/>
    </row>
    <row r="236" spans="1:50">
      <c r="A236" s="1042"/>
      <c r="Y236" s="1042"/>
      <c r="Z236" s="1042"/>
      <c r="AA236" s="1042"/>
      <c r="AX236" s="1042"/>
    </row>
    <row r="237" spans="1:50">
      <c r="A237" s="1042"/>
      <c r="Y237" s="1042"/>
      <c r="Z237" s="1042"/>
      <c r="AA237" s="1042"/>
      <c r="AX237" s="1042"/>
    </row>
    <row r="238" spans="1:50">
      <c r="A238" s="1042"/>
      <c r="Y238" s="1042"/>
      <c r="Z238" s="1042"/>
      <c r="AA238" s="1042"/>
      <c r="AX238" s="1042"/>
    </row>
    <row r="239" spans="1:50">
      <c r="A239" s="1042"/>
      <c r="Y239" s="1042"/>
      <c r="Z239" s="1042"/>
      <c r="AA239" s="1042"/>
      <c r="AX239" s="1042"/>
    </row>
    <row r="240" spans="1:50">
      <c r="A240" s="1042"/>
      <c r="Y240" s="1042"/>
      <c r="Z240" s="1042"/>
      <c r="AA240" s="1042"/>
      <c r="AX240" s="1042"/>
    </row>
    <row r="241" spans="1:50">
      <c r="A241" s="1042"/>
      <c r="Y241" s="1042"/>
      <c r="Z241" s="1042"/>
      <c r="AA241" s="1042"/>
      <c r="AX241" s="1042"/>
    </row>
    <row r="242" spans="1:50">
      <c r="A242" s="1042"/>
      <c r="Y242" s="1042"/>
      <c r="Z242" s="1042"/>
      <c r="AA242" s="1042"/>
      <c r="AX242" s="1042"/>
    </row>
    <row r="243" spans="1:50">
      <c r="A243" s="1042"/>
      <c r="Y243" s="1042"/>
      <c r="Z243" s="1042"/>
      <c r="AA243" s="1042"/>
      <c r="AX243" s="1042"/>
    </row>
    <row r="244" spans="1:50">
      <c r="A244" s="1042"/>
      <c r="Y244" s="1042"/>
      <c r="Z244" s="1042"/>
      <c r="AA244" s="1042"/>
      <c r="AX244" s="1042"/>
    </row>
    <row r="245" spans="1:50">
      <c r="A245" s="1042"/>
      <c r="Y245" s="1042"/>
      <c r="Z245" s="1042"/>
      <c r="AA245" s="1042"/>
      <c r="AX245" s="1042"/>
    </row>
    <row r="246" spans="1:50">
      <c r="A246" s="1042"/>
      <c r="Y246" s="1042"/>
      <c r="Z246" s="1042"/>
      <c r="AA246" s="1042"/>
      <c r="AX246" s="1042"/>
    </row>
    <row r="247" spans="1:50">
      <c r="A247" s="1042"/>
      <c r="Y247" s="1042"/>
      <c r="Z247" s="1042"/>
      <c r="AA247" s="1042"/>
      <c r="AX247" s="1042"/>
    </row>
    <row r="248" spans="1:50">
      <c r="A248" s="1042"/>
      <c r="Y248" s="1042"/>
      <c r="Z248" s="1042"/>
      <c r="AA248" s="1042"/>
      <c r="AX248" s="1042"/>
    </row>
    <row r="249" spans="1:50">
      <c r="A249" s="1042"/>
      <c r="Y249" s="1042"/>
      <c r="Z249" s="1042"/>
      <c r="AA249" s="1042"/>
      <c r="AX249" s="1042"/>
    </row>
    <row r="250" spans="1:50">
      <c r="A250" s="1042"/>
      <c r="Y250" s="1042"/>
      <c r="Z250" s="1042"/>
      <c r="AA250" s="1042"/>
      <c r="AX250" s="1042"/>
    </row>
    <row r="251" spans="1:50">
      <c r="A251" s="1042"/>
      <c r="Y251" s="1042"/>
      <c r="Z251" s="1042"/>
      <c r="AA251" s="1042"/>
      <c r="AX251" s="1042"/>
    </row>
    <row r="252" spans="1:50">
      <c r="A252" s="1042"/>
      <c r="Y252" s="1042"/>
      <c r="Z252" s="1042"/>
      <c r="AA252" s="1042"/>
      <c r="AX252" s="1042"/>
    </row>
    <row r="253" spans="1:50">
      <c r="A253" s="1042"/>
      <c r="Y253" s="1042"/>
      <c r="Z253" s="1042"/>
      <c r="AA253" s="1042"/>
      <c r="AX253" s="1042"/>
    </row>
    <row r="254" spans="1:50">
      <c r="A254" s="1042"/>
      <c r="Y254" s="1042"/>
      <c r="Z254" s="1042"/>
      <c r="AA254" s="1042"/>
      <c r="AX254" s="1042"/>
    </row>
    <row r="255" spans="1:50">
      <c r="A255" s="1042"/>
      <c r="Y255" s="1042"/>
      <c r="Z255" s="1042"/>
      <c r="AA255" s="1042"/>
      <c r="AX255" s="1042"/>
    </row>
    <row r="256" spans="1:50">
      <c r="A256" s="1042"/>
      <c r="Y256" s="1042"/>
      <c r="Z256" s="1042"/>
      <c r="AA256" s="1042"/>
      <c r="AX256" s="1042"/>
    </row>
    <row r="257" spans="1:50">
      <c r="A257" s="1042"/>
      <c r="Y257" s="1042"/>
      <c r="Z257" s="1042"/>
      <c r="AA257" s="1042"/>
      <c r="AX257" s="1042"/>
    </row>
    <row r="258" spans="1:50">
      <c r="A258" s="1042"/>
      <c r="Y258" s="1042"/>
      <c r="Z258" s="1042"/>
      <c r="AA258" s="1042"/>
      <c r="AX258" s="1042"/>
    </row>
    <row r="259" spans="1:50">
      <c r="A259" s="1042"/>
      <c r="Y259" s="1042"/>
      <c r="Z259" s="1042"/>
      <c r="AA259" s="1042"/>
      <c r="AX259" s="1042"/>
    </row>
    <row r="260" spans="1:50">
      <c r="A260" s="1042"/>
      <c r="Y260" s="1042"/>
      <c r="Z260" s="1042"/>
      <c r="AA260" s="1042"/>
      <c r="AX260" s="1042"/>
    </row>
    <row r="261" spans="1:50">
      <c r="A261" s="1042"/>
      <c r="Y261" s="1042"/>
      <c r="Z261" s="1042"/>
      <c r="AA261" s="1042"/>
      <c r="AX261" s="1042"/>
    </row>
    <row r="262" spans="1:50">
      <c r="A262" s="1042"/>
      <c r="Y262" s="1042"/>
      <c r="Z262" s="1042"/>
      <c r="AA262" s="1042"/>
      <c r="AX262" s="1042"/>
    </row>
    <row r="263" spans="1:50">
      <c r="A263" s="1042"/>
      <c r="Y263" s="1042"/>
      <c r="Z263" s="1042"/>
      <c r="AA263" s="1042"/>
      <c r="AX263" s="1042"/>
    </row>
    <row r="264" spans="1:50">
      <c r="A264" s="1042"/>
      <c r="Y264" s="1042"/>
      <c r="Z264" s="1042"/>
      <c r="AA264" s="1042"/>
      <c r="AX264" s="1042"/>
    </row>
    <row r="265" spans="1:50">
      <c r="A265" s="1042"/>
      <c r="Y265" s="1042"/>
      <c r="Z265" s="1042"/>
      <c r="AA265" s="1042"/>
      <c r="AX265" s="1042"/>
    </row>
    <row r="266" spans="1:50">
      <c r="A266" s="1042"/>
      <c r="Y266" s="1042"/>
      <c r="Z266" s="1042"/>
      <c r="AA266" s="1042"/>
      <c r="AX266" s="1042"/>
    </row>
    <row r="267" spans="1:50">
      <c r="A267" s="1042"/>
      <c r="Y267" s="1042"/>
      <c r="Z267" s="1042"/>
      <c r="AA267" s="1042"/>
      <c r="AX267" s="1042"/>
    </row>
    <row r="268" spans="1:50">
      <c r="A268" s="1042"/>
      <c r="Y268" s="1042"/>
      <c r="Z268" s="1042"/>
      <c r="AA268" s="1042"/>
      <c r="AX268" s="1042"/>
    </row>
    <row r="269" spans="1:50">
      <c r="A269" s="1042"/>
      <c r="Y269" s="1042"/>
      <c r="Z269" s="1042"/>
      <c r="AA269" s="1042"/>
      <c r="AX269" s="1042"/>
    </row>
    <row r="270" spans="1:50">
      <c r="A270" s="1042"/>
      <c r="Y270" s="1042"/>
      <c r="Z270" s="1042"/>
      <c r="AA270" s="1042"/>
      <c r="AX270" s="1042"/>
    </row>
    <row r="271" spans="1:50">
      <c r="A271" s="1042"/>
      <c r="Y271" s="1042"/>
      <c r="Z271" s="1042"/>
      <c r="AA271" s="1042"/>
      <c r="AX271" s="1042"/>
    </row>
    <row r="272" spans="1:50">
      <c r="A272" s="1042"/>
      <c r="Y272" s="1042"/>
      <c r="Z272" s="1042"/>
      <c r="AA272" s="1042"/>
      <c r="AX272" s="1042"/>
    </row>
    <row r="273" spans="1:50">
      <c r="A273" s="1042"/>
      <c r="Y273" s="1042"/>
      <c r="Z273" s="1042"/>
      <c r="AA273" s="1042"/>
      <c r="AX273" s="1042"/>
    </row>
    <row r="274" spans="1:50">
      <c r="A274" s="1042"/>
      <c r="Y274" s="1042"/>
      <c r="Z274" s="1042"/>
      <c r="AA274" s="1042"/>
      <c r="AX274" s="1042"/>
    </row>
    <row r="275" spans="1:50">
      <c r="A275" s="1042"/>
      <c r="Y275" s="1042"/>
      <c r="Z275" s="1042"/>
      <c r="AA275" s="1042"/>
      <c r="AX275" s="1042"/>
    </row>
    <row r="276" spans="1:50">
      <c r="A276" s="1042"/>
      <c r="Y276" s="1042"/>
      <c r="Z276" s="1042"/>
      <c r="AA276" s="1042"/>
      <c r="AX276" s="1042"/>
    </row>
    <row r="277" spans="1:50">
      <c r="A277" s="1042"/>
      <c r="Y277" s="1042"/>
      <c r="Z277" s="1042"/>
      <c r="AA277" s="1042"/>
      <c r="AX277" s="1042"/>
    </row>
    <row r="278" spans="1:50">
      <c r="A278" s="1042"/>
      <c r="Y278" s="1042"/>
      <c r="Z278" s="1042"/>
      <c r="AA278" s="1042"/>
      <c r="AX278" s="1042"/>
    </row>
    <row r="279" spans="1:50">
      <c r="A279" s="1042"/>
      <c r="Y279" s="1042"/>
      <c r="Z279" s="1042"/>
      <c r="AA279" s="1042"/>
      <c r="AX279" s="1042"/>
    </row>
    <row r="280" spans="1:50">
      <c r="A280" s="1042"/>
      <c r="Y280" s="1042"/>
      <c r="Z280" s="1042"/>
      <c r="AA280" s="1042"/>
      <c r="AX280" s="1042"/>
    </row>
    <row r="281" spans="1:50">
      <c r="A281" s="1042"/>
      <c r="Y281" s="1042"/>
      <c r="Z281" s="1042"/>
      <c r="AA281" s="1042"/>
      <c r="AX281" s="1042"/>
    </row>
    <row r="282" spans="1:50">
      <c r="A282" s="1042"/>
      <c r="Y282" s="1042"/>
      <c r="Z282" s="1042"/>
      <c r="AA282" s="1042"/>
      <c r="AX282" s="1042"/>
    </row>
    <row r="283" spans="1:50">
      <c r="A283" s="1042"/>
      <c r="Y283" s="1042"/>
      <c r="Z283" s="1042"/>
      <c r="AA283" s="1042"/>
      <c r="AX283" s="1042"/>
    </row>
    <row r="284" spans="1:50">
      <c r="A284" s="1042"/>
      <c r="Y284" s="1042"/>
      <c r="Z284" s="1042"/>
      <c r="AA284" s="1042"/>
      <c r="AX284" s="1042"/>
    </row>
    <row r="285" spans="1:50">
      <c r="A285" s="1042"/>
      <c r="Y285" s="1042"/>
      <c r="Z285" s="1042"/>
      <c r="AA285" s="1042"/>
      <c r="AX285" s="1042"/>
    </row>
    <row r="286" spans="1:50">
      <c r="A286" s="1042"/>
      <c r="Y286" s="1042"/>
      <c r="Z286" s="1042"/>
      <c r="AA286" s="1042"/>
      <c r="AX286" s="1042"/>
    </row>
    <row r="287" spans="1:50">
      <c r="A287" s="1042"/>
      <c r="Y287" s="1042"/>
      <c r="Z287" s="1042"/>
      <c r="AA287" s="1042"/>
      <c r="AX287" s="1042"/>
    </row>
    <row r="288" spans="1:50">
      <c r="A288" s="1042"/>
      <c r="Y288" s="1042"/>
      <c r="Z288" s="1042"/>
      <c r="AA288" s="1042"/>
      <c r="AX288" s="1042"/>
    </row>
    <row r="289" spans="1:50">
      <c r="A289" s="1042"/>
      <c r="Y289" s="1042"/>
      <c r="Z289" s="1042"/>
      <c r="AA289" s="1042"/>
      <c r="AX289" s="1042"/>
    </row>
    <row r="290" spans="1:50">
      <c r="A290" s="1042"/>
      <c r="Y290" s="1042"/>
      <c r="Z290" s="1042"/>
      <c r="AA290" s="1042"/>
      <c r="AX290" s="1042"/>
    </row>
    <row r="291" spans="1:50">
      <c r="A291" s="1042"/>
      <c r="Y291" s="1042"/>
      <c r="Z291" s="1042"/>
      <c r="AA291" s="1042"/>
      <c r="AX291" s="1042"/>
    </row>
    <row r="292" spans="1:50">
      <c r="A292" s="1042"/>
      <c r="Y292" s="1042"/>
      <c r="Z292" s="1042"/>
      <c r="AA292" s="1042"/>
      <c r="AX292" s="1042"/>
    </row>
    <row r="293" spans="1:50">
      <c r="A293" s="1042"/>
      <c r="Y293" s="1042"/>
      <c r="Z293" s="1042"/>
      <c r="AA293" s="1042"/>
      <c r="AX293" s="1042"/>
    </row>
    <row r="294" spans="1:50">
      <c r="A294" s="1042"/>
      <c r="Y294" s="1042"/>
      <c r="Z294" s="1042"/>
      <c r="AA294" s="1042"/>
      <c r="AX294" s="1042"/>
    </row>
    <row r="295" spans="1:50">
      <c r="A295" s="1042"/>
      <c r="Y295" s="1042"/>
      <c r="Z295" s="1042"/>
      <c r="AA295" s="1042"/>
      <c r="AX295" s="1042"/>
    </row>
    <row r="296" spans="1:50">
      <c r="A296" s="1042"/>
      <c r="Y296" s="1042"/>
      <c r="Z296" s="1042"/>
      <c r="AA296" s="1042"/>
      <c r="AX296" s="1042"/>
    </row>
    <row r="297" spans="1:50">
      <c r="A297" s="1042"/>
      <c r="Y297" s="1042"/>
      <c r="Z297" s="1042"/>
      <c r="AA297" s="1042"/>
      <c r="AX297" s="1042"/>
    </row>
    <row r="298" spans="1:50">
      <c r="A298" s="1042"/>
      <c r="Y298" s="1042"/>
      <c r="Z298" s="1042"/>
      <c r="AA298" s="1042"/>
      <c r="AX298" s="1042"/>
    </row>
    <row r="299" spans="1:50">
      <c r="A299" s="1042"/>
      <c r="Y299" s="1042"/>
      <c r="Z299" s="1042"/>
      <c r="AA299" s="1042"/>
      <c r="AX299" s="1042"/>
    </row>
    <row r="300" spans="1:50">
      <c r="A300" s="1042"/>
      <c r="Y300" s="1042"/>
      <c r="Z300" s="1042"/>
      <c r="AA300" s="1042"/>
      <c r="AX300" s="1042"/>
    </row>
    <row r="301" spans="1:50">
      <c r="A301" s="1042"/>
      <c r="Y301" s="1042"/>
      <c r="Z301" s="1042"/>
      <c r="AA301" s="1042"/>
      <c r="AX301" s="1042"/>
    </row>
    <row r="302" spans="1:50">
      <c r="A302" s="1042"/>
      <c r="Y302" s="1042"/>
      <c r="Z302" s="1042"/>
      <c r="AA302" s="1042"/>
      <c r="AX302" s="1042"/>
    </row>
    <row r="303" spans="1:50">
      <c r="A303" s="1042"/>
      <c r="Y303" s="1042"/>
      <c r="Z303" s="1042"/>
      <c r="AA303" s="1042"/>
      <c r="AX303" s="1042"/>
    </row>
    <row r="304" spans="1:50">
      <c r="A304" s="1042"/>
      <c r="Y304" s="1042"/>
      <c r="Z304" s="1042"/>
      <c r="AA304" s="1042"/>
      <c r="AX304" s="1042"/>
    </row>
    <row r="305" spans="1:50">
      <c r="A305" s="1042"/>
      <c r="Y305" s="1042"/>
      <c r="Z305" s="1042"/>
      <c r="AA305" s="1042"/>
      <c r="AX305" s="1042"/>
    </row>
    <row r="306" spans="1:50">
      <c r="A306" s="1042"/>
      <c r="Y306" s="1042"/>
      <c r="Z306" s="1042"/>
      <c r="AA306" s="1042"/>
      <c r="AX306" s="1042"/>
    </row>
    <row r="307" spans="1:50">
      <c r="A307" s="1042"/>
      <c r="Y307" s="1042"/>
      <c r="Z307" s="1042"/>
      <c r="AA307" s="1042"/>
      <c r="AX307" s="1042"/>
    </row>
    <row r="308" spans="1:50">
      <c r="A308" s="1042"/>
      <c r="Y308" s="1042"/>
      <c r="Z308" s="1042"/>
      <c r="AA308" s="1042"/>
      <c r="AX308" s="1042"/>
    </row>
    <row r="309" spans="1:50">
      <c r="A309" s="1042"/>
      <c r="Y309" s="1042"/>
      <c r="Z309" s="1042"/>
      <c r="AA309" s="1042"/>
      <c r="AX309" s="1042"/>
    </row>
    <row r="310" spans="1:50">
      <c r="A310" s="1042"/>
      <c r="Y310" s="1042"/>
      <c r="Z310" s="1042"/>
      <c r="AA310" s="1042"/>
      <c r="AX310" s="1042"/>
    </row>
    <row r="311" spans="1:50">
      <c r="A311" s="1042"/>
      <c r="Y311" s="1042"/>
      <c r="Z311" s="1042"/>
      <c r="AA311" s="1042"/>
      <c r="AX311" s="1042"/>
    </row>
    <row r="312" spans="1:50">
      <c r="A312" s="1042"/>
      <c r="Y312" s="1042"/>
      <c r="Z312" s="1042"/>
      <c r="AA312" s="1042"/>
      <c r="AX312" s="1042"/>
    </row>
    <row r="313" spans="1:50">
      <c r="A313" s="1042"/>
      <c r="Y313" s="1042"/>
      <c r="Z313" s="1042"/>
      <c r="AA313" s="1042"/>
      <c r="AX313" s="1042"/>
    </row>
    <row r="314" spans="1:50">
      <c r="A314" s="1042"/>
      <c r="Y314" s="1042"/>
      <c r="Z314" s="1042"/>
      <c r="AA314" s="1042"/>
      <c r="AX314" s="1042"/>
    </row>
    <row r="315" spans="1:50">
      <c r="A315" s="1042"/>
      <c r="Y315" s="1042"/>
      <c r="Z315" s="1042"/>
      <c r="AA315" s="1042"/>
      <c r="AX315" s="1042"/>
    </row>
    <row r="316" spans="1:50">
      <c r="A316" s="1042"/>
      <c r="Y316" s="1042"/>
      <c r="Z316" s="1042"/>
      <c r="AA316" s="1042"/>
      <c r="AX316" s="1042"/>
    </row>
    <row r="317" spans="1:50">
      <c r="A317" s="1042"/>
      <c r="Y317" s="1042"/>
      <c r="Z317" s="1042"/>
      <c r="AA317" s="1042"/>
      <c r="AX317" s="1042"/>
    </row>
    <row r="318" spans="1:50">
      <c r="A318" s="1042"/>
      <c r="Y318" s="1042"/>
      <c r="Z318" s="1042"/>
      <c r="AA318" s="1042"/>
      <c r="AX318" s="1042"/>
    </row>
    <row r="319" spans="1:50">
      <c r="A319" s="1042"/>
      <c r="Y319" s="1042"/>
      <c r="Z319" s="1042"/>
      <c r="AA319" s="1042"/>
      <c r="AX319" s="1042"/>
    </row>
    <row r="320" spans="1:50">
      <c r="A320" s="1042"/>
      <c r="Y320" s="1042"/>
      <c r="Z320" s="1042"/>
      <c r="AA320" s="1042"/>
      <c r="AX320" s="1042"/>
    </row>
    <row r="321" spans="1:50">
      <c r="A321" s="1042"/>
      <c r="Y321" s="1042"/>
      <c r="Z321" s="1042"/>
      <c r="AA321" s="1042"/>
      <c r="AX321" s="1042"/>
    </row>
    <row r="322" spans="1:50">
      <c r="A322" s="1042"/>
      <c r="Y322" s="1042"/>
      <c r="Z322" s="1042"/>
      <c r="AA322" s="1042"/>
      <c r="AX322" s="1042"/>
    </row>
    <row r="323" spans="1:50">
      <c r="A323" s="1042"/>
      <c r="Y323" s="1042"/>
      <c r="Z323" s="1042"/>
      <c r="AA323" s="1042"/>
      <c r="AX323" s="1042"/>
    </row>
    <row r="324" spans="1:50">
      <c r="A324" s="1042"/>
      <c r="Y324" s="1042"/>
      <c r="Z324" s="1042"/>
      <c r="AA324" s="1042"/>
      <c r="AX324" s="1042"/>
    </row>
    <row r="325" spans="1:50">
      <c r="A325" s="1042"/>
      <c r="Y325" s="1042"/>
      <c r="Z325" s="1042"/>
      <c r="AA325" s="1042"/>
      <c r="AX325" s="1042"/>
    </row>
    <row r="326" spans="1:50">
      <c r="A326" s="1042"/>
      <c r="Y326" s="1042"/>
      <c r="Z326" s="1042"/>
      <c r="AA326" s="1042"/>
      <c r="AX326" s="1042"/>
    </row>
    <row r="327" spans="1:50">
      <c r="A327" s="1042"/>
      <c r="Y327" s="1042"/>
      <c r="Z327" s="1042"/>
      <c r="AA327" s="1042"/>
      <c r="AX327" s="1042"/>
    </row>
    <row r="328" spans="1:50">
      <c r="A328" s="1042"/>
      <c r="Y328" s="1042"/>
      <c r="Z328" s="1042"/>
      <c r="AA328" s="1042"/>
      <c r="AX328" s="1042"/>
    </row>
    <row r="329" spans="1:50">
      <c r="A329" s="1042"/>
      <c r="Y329" s="1042"/>
      <c r="Z329" s="1042"/>
      <c r="AA329" s="1042"/>
      <c r="AX329" s="1042"/>
    </row>
    <row r="330" spans="1:50">
      <c r="A330" s="1042"/>
      <c r="Y330" s="1042"/>
      <c r="Z330" s="1042"/>
      <c r="AA330" s="1042"/>
      <c r="AX330" s="1042"/>
    </row>
    <row r="331" spans="1:50">
      <c r="A331" s="1042"/>
      <c r="Y331" s="1042"/>
      <c r="Z331" s="1042"/>
      <c r="AA331" s="1042"/>
      <c r="AX331" s="1042"/>
    </row>
    <row r="332" spans="1:50">
      <c r="A332" s="1042"/>
      <c r="Y332" s="1042"/>
      <c r="Z332" s="1042"/>
      <c r="AA332" s="1042"/>
      <c r="AX332" s="1042"/>
    </row>
    <row r="333" spans="1:50">
      <c r="A333" s="1042"/>
      <c r="Y333" s="1042"/>
      <c r="Z333" s="1042"/>
      <c r="AA333" s="1042"/>
      <c r="AX333" s="1042"/>
    </row>
    <row r="334" spans="1:50">
      <c r="A334" s="1042"/>
      <c r="Y334" s="1042"/>
      <c r="Z334" s="1042"/>
      <c r="AA334" s="1042"/>
      <c r="AX334" s="1042"/>
    </row>
    <row r="335" spans="1:50">
      <c r="A335" s="1042"/>
      <c r="Y335" s="1042"/>
      <c r="Z335" s="1042"/>
      <c r="AA335" s="1042"/>
      <c r="AX335" s="1042"/>
    </row>
    <row r="336" spans="1:50">
      <c r="A336" s="1042"/>
      <c r="Y336" s="1042"/>
      <c r="Z336" s="1042"/>
      <c r="AA336" s="1042"/>
      <c r="AX336" s="1042"/>
    </row>
    <row r="337" spans="1:50">
      <c r="A337" s="1042"/>
      <c r="Y337" s="1042"/>
      <c r="Z337" s="1042"/>
      <c r="AA337" s="1042"/>
      <c r="AX337" s="1042"/>
    </row>
    <row r="338" spans="1:50">
      <c r="A338" s="1042"/>
      <c r="Y338" s="1042"/>
      <c r="Z338" s="1042"/>
      <c r="AA338" s="1042"/>
      <c r="AX338" s="1042"/>
    </row>
    <row r="339" spans="1:50">
      <c r="A339" s="1042"/>
      <c r="Y339" s="1042"/>
      <c r="Z339" s="1042"/>
      <c r="AA339" s="1042"/>
      <c r="AX339" s="1042"/>
    </row>
    <row r="340" spans="1:50">
      <c r="A340" s="1042"/>
      <c r="Y340" s="1042"/>
      <c r="Z340" s="1042"/>
      <c r="AA340" s="1042"/>
      <c r="AX340" s="1042"/>
    </row>
    <row r="341" spans="1:50">
      <c r="A341" s="1042"/>
      <c r="Y341" s="1042"/>
      <c r="Z341" s="1042"/>
      <c r="AA341" s="1042"/>
      <c r="AX341" s="1042"/>
    </row>
    <row r="342" spans="1:50">
      <c r="A342" s="1042"/>
      <c r="Y342" s="1042"/>
      <c r="Z342" s="1042"/>
      <c r="AA342" s="1042"/>
      <c r="AX342" s="1042"/>
    </row>
    <row r="343" spans="1:50">
      <c r="A343" s="1042"/>
      <c r="Y343" s="1042"/>
      <c r="Z343" s="1042"/>
      <c r="AA343" s="1042"/>
      <c r="AX343" s="1042"/>
    </row>
    <row r="344" spans="1:50">
      <c r="A344" s="1042"/>
      <c r="Y344" s="1042"/>
      <c r="Z344" s="1042"/>
      <c r="AA344" s="1042"/>
      <c r="AX344" s="1042"/>
    </row>
    <row r="345" spans="1:50">
      <c r="A345" s="1042"/>
      <c r="Y345" s="1042"/>
      <c r="Z345" s="1042"/>
      <c r="AA345" s="1042"/>
      <c r="AX345" s="1042"/>
    </row>
    <row r="346" spans="1:50">
      <c r="A346" s="1042"/>
      <c r="Y346" s="1042"/>
      <c r="Z346" s="1042"/>
      <c r="AA346" s="1042"/>
      <c r="AX346" s="1042"/>
    </row>
    <row r="347" spans="1:50">
      <c r="A347" s="1042"/>
      <c r="Y347" s="1042"/>
      <c r="Z347" s="1042"/>
      <c r="AA347" s="1042"/>
      <c r="AX347" s="1042"/>
    </row>
    <row r="348" spans="1:50">
      <c r="A348" s="1042"/>
      <c r="Y348" s="1042"/>
      <c r="Z348" s="1042"/>
      <c r="AA348" s="1042"/>
      <c r="AX348" s="1042"/>
    </row>
    <row r="349" spans="1:50">
      <c r="A349" s="1042"/>
      <c r="Y349" s="1042"/>
      <c r="Z349" s="1042"/>
      <c r="AA349" s="1042"/>
      <c r="AX349" s="1042"/>
    </row>
    <row r="350" spans="1:50">
      <c r="A350" s="1042"/>
      <c r="Y350" s="1042"/>
      <c r="Z350" s="1042"/>
      <c r="AA350" s="1042"/>
      <c r="AX350" s="1042"/>
    </row>
    <row r="351" spans="1:50">
      <c r="A351" s="1042"/>
      <c r="Y351" s="1042"/>
      <c r="Z351" s="1042"/>
      <c r="AA351" s="1042"/>
      <c r="AX351" s="1042"/>
    </row>
    <row r="352" spans="1:50">
      <c r="A352" s="1042"/>
      <c r="Y352" s="1042"/>
      <c r="Z352" s="1042"/>
      <c r="AA352" s="1042"/>
      <c r="AX352" s="1042"/>
    </row>
    <row r="353" spans="1:50">
      <c r="A353" s="1042"/>
      <c r="Y353" s="1042"/>
      <c r="Z353" s="1042"/>
      <c r="AA353" s="1042"/>
      <c r="AX353" s="1042"/>
    </row>
    <row r="354" spans="1:50">
      <c r="A354" s="1042"/>
      <c r="Y354" s="1042"/>
      <c r="Z354" s="1042"/>
      <c r="AA354" s="1042"/>
      <c r="AX354" s="1042"/>
    </row>
    <row r="355" spans="1:50">
      <c r="A355" s="1042"/>
      <c r="Y355" s="1042"/>
      <c r="Z355" s="1042"/>
      <c r="AA355" s="1042"/>
      <c r="AX355" s="1042"/>
    </row>
    <row r="356" spans="1:50">
      <c r="A356" s="1042"/>
      <c r="Y356" s="1042"/>
      <c r="Z356" s="1042"/>
      <c r="AA356" s="1042"/>
      <c r="AX356" s="1042"/>
    </row>
    <row r="357" spans="1:50">
      <c r="A357" s="1042"/>
      <c r="Y357" s="1042"/>
      <c r="Z357" s="1042"/>
      <c r="AA357" s="1042"/>
      <c r="AX357" s="1042"/>
    </row>
    <row r="358" spans="1:50">
      <c r="A358" s="1042"/>
      <c r="Y358" s="1042"/>
      <c r="Z358" s="1042"/>
      <c r="AA358" s="1042"/>
      <c r="AX358" s="1042"/>
    </row>
    <row r="359" spans="1:50">
      <c r="A359" s="1042"/>
      <c r="Y359" s="1042"/>
      <c r="Z359" s="1042"/>
      <c r="AA359" s="1042"/>
      <c r="AX359" s="1042"/>
    </row>
    <row r="360" spans="1:50">
      <c r="A360" s="1042"/>
      <c r="Y360" s="1042"/>
      <c r="Z360" s="1042"/>
      <c r="AA360" s="1042"/>
      <c r="AX360" s="1042"/>
    </row>
    <row r="361" spans="1:50">
      <c r="A361" s="1042"/>
      <c r="Y361" s="1042"/>
      <c r="Z361" s="1042"/>
      <c r="AA361" s="1042"/>
      <c r="AX361" s="1042"/>
    </row>
    <row r="362" spans="1:50">
      <c r="A362" s="1042"/>
      <c r="Y362" s="1042"/>
      <c r="Z362" s="1042"/>
      <c r="AA362" s="1042"/>
      <c r="AX362" s="1042"/>
    </row>
    <row r="363" spans="1:50">
      <c r="A363" s="1042"/>
      <c r="Y363" s="1042"/>
      <c r="Z363" s="1042"/>
      <c r="AA363" s="1042"/>
      <c r="AX363" s="1042"/>
    </row>
    <row r="364" spans="1:50">
      <c r="A364" s="1042"/>
      <c r="Y364" s="1042"/>
      <c r="Z364" s="1042"/>
      <c r="AA364" s="1042"/>
      <c r="AX364" s="1042"/>
    </row>
    <row r="365" spans="1:50">
      <c r="A365" s="1042"/>
      <c r="Y365" s="1042"/>
      <c r="Z365" s="1042"/>
      <c r="AA365" s="1042"/>
      <c r="AX365" s="1042"/>
    </row>
    <row r="366" spans="1:50">
      <c r="A366" s="1042"/>
      <c r="Y366" s="1042"/>
      <c r="Z366" s="1042"/>
      <c r="AA366" s="1042"/>
      <c r="AX366" s="1042"/>
    </row>
    <row r="367" spans="1:50">
      <c r="A367" s="1042"/>
      <c r="Y367" s="1042"/>
      <c r="Z367" s="1042"/>
      <c r="AA367" s="1042"/>
      <c r="AX367" s="1042"/>
    </row>
    <row r="368" spans="1:50">
      <c r="A368" s="1042"/>
      <c r="Y368" s="1042"/>
      <c r="Z368" s="1042"/>
      <c r="AA368" s="1042"/>
      <c r="AX368" s="1042"/>
    </row>
    <row r="369" spans="1:50">
      <c r="A369" s="1042"/>
      <c r="Y369" s="1042"/>
      <c r="Z369" s="1042"/>
      <c r="AA369" s="1042"/>
      <c r="AX369" s="1042"/>
    </row>
    <row r="370" spans="1:50">
      <c r="A370" s="1042"/>
      <c r="Y370" s="1042"/>
      <c r="Z370" s="1042"/>
      <c r="AA370" s="1042"/>
      <c r="AX370" s="1042"/>
    </row>
    <row r="371" spans="1:50">
      <c r="A371" s="1042"/>
      <c r="Y371" s="1042"/>
      <c r="Z371" s="1042"/>
      <c r="AA371" s="1042"/>
      <c r="AX371" s="1042"/>
    </row>
    <row r="372" spans="1:50">
      <c r="A372" s="1042"/>
      <c r="Y372" s="1042"/>
      <c r="Z372" s="1042"/>
      <c r="AA372" s="1042"/>
      <c r="AX372" s="1042"/>
    </row>
    <row r="373" spans="1:50">
      <c r="A373" s="1042"/>
      <c r="Y373" s="1042"/>
      <c r="Z373" s="1042"/>
      <c r="AA373" s="1042"/>
      <c r="AX373" s="1042"/>
    </row>
    <row r="374" spans="1:50">
      <c r="A374" s="1042"/>
      <c r="Y374" s="1042"/>
      <c r="Z374" s="1042"/>
      <c r="AA374" s="1042"/>
      <c r="AX374" s="1042"/>
    </row>
    <row r="375" spans="1:50">
      <c r="A375" s="1042"/>
      <c r="Y375" s="1042"/>
      <c r="Z375" s="1042"/>
      <c r="AA375" s="1042"/>
      <c r="AX375" s="1042"/>
    </row>
    <row r="376" spans="1:50">
      <c r="A376" s="1042"/>
      <c r="Y376" s="1042"/>
      <c r="Z376" s="1042"/>
      <c r="AA376" s="1042"/>
      <c r="AX376" s="1042"/>
    </row>
    <row r="377" spans="1:50">
      <c r="A377" s="1042"/>
      <c r="Y377" s="1042"/>
      <c r="Z377" s="1042"/>
      <c r="AA377" s="1042"/>
      <c r="AX377" s="1042"/>
    </row>
    <row r="378" spans="1:50">
      <c r="A378" s="1042"/>
      <c r="Y378" s="1042"/>
      <c r="Z378" s="1042"/>
      <c r="AA378" s="1042"/>
      <c r="AX378" s="1042"/>
    </row>
    <row r="379" spans="1:50">
      <c r="A379" s="1042"/>
      <c r="Y379" s="1042"/>
      <c r="Z379" s="1042"/>
      <c r="AA379" s="1042"/>
      <c r="AX379" s="1042"/>
    </row>
    <row r="380" spans="1:50">
      <c r="A380" s="1042"/>
      <c r="Y380" s="1042"/>
      <c r="Z380" s="1042"/>
      <c r="AA380" s="1042"/>
      <c r="AX380" s="1042"/>
    </row>
    <row r="381" spans="1:50">
      <c r="A381" s="1042"/>
      <c r="Y381" s="1042"/>
      <c r="Z381" s="1042"/>
      <c r="AA381" s="1042"/>
      <c r="AX381" s="1042"/>
    </row>
    <row r="382" spans="1:50">
      <c r="A382" s="1042"/>
      <c r="Y382" s="1042"/>
      <c r="Z382" s="1042"/>
      <c r="AA382" s="1042"/>
      <c r="AX382" s="1042"/>
    </row>
    <row r="383" spans="1:50">
      <c r="A383" s="1042"/>
      <c r="Y383" s="1042"/>
      <c r="Z383" s="1042"/>
      <c r="AA383" s="1042"/>
      <c r="AX383" s="1042"/>
    </row>
    <row r="384" spans="1:50">
      <c r="A384" s="1042"/>
      <c r="Y384" s="1042"/>
      <c r="Z384" s="1042"/>
      <c r="AA384" s="1042"/>
      <c r="AX384" s="1042"/>
    </row>
    <row r="385" spans="1:50">
      <c r="A385" s="1042"/>
      <c r="Y385" s="1042"/>
      <c r="Z385" s="1042"/>
      <c r="AA385" s="1042"/>
      <c r="AX385" s="1042"/>
    </row>
    <row r="386" spans="1:50">
      <c r="A386" s="1042"/>
      <c r="Y386" s="1042"/>
      <c r="Z386" s="1042"/>
      <c r="AA386" s="1042"/>
      <c r="AX386" s="1042"/>
    </row>
    <row r="387" spans="1:50">
      <c r="A387" s="1042"/>
      <c r="Y387" s="1042"/>
      <c r="Z387" s="1042"/>
      <c r="AA387" s="1042"/>
      <c r="AX387" s="1042"/>
    </row>
    <row r="388" spans="1:50">
      <c r="A388" s="1042"/>
      <c r="Y388" s="1042"/>
      <c r="Z388" s="1042"/>
      <c r="AA388" s="1042"/>
      <c r="AX388" s="1042"/>
    </row>
    <row r="389" spans="1:50">
      <c r="A389" s="1042"/>
      <c r="Y389" s="1042"/>
      <c r="Z389" s="1042"/>
      <c r="AA389" s="1042"/>
      <c r="AX389" s="1042"/>
    </row>
    <row r="390" spans="1:50">
      <c r="A390" s="1042"/>
      <c r="Y390" s="1042"/>
      <c r="Z390" s="1042"/>
      <c r="AA390" s="1042"/>
      <c r="AX390" s="1042"/>
    </row>
    <row r="391" spans="1:50">
      <c r="A391" s="1042"/>
      <c r="Y391" s="1042"/>
      <c r="Z391" s="1042"/>
      <c r="AA391" s="1042"/>
      <c r="AX391" s="1042"/>
    </row>
    <row r="392" spans="1:50">
      <c r="A392" s="1042"/>
      <c r="Y392" s="1042"/>
      <c r="Z392" s="1042"/>
      <c r="AA392" s="1042"/>
      <c r="AX392" s="1042"/>
    </row>
    <row r="393" spans="1:50">
      <c r="A393" s="1042"/>
      <c r="Y393" s="1042"/>
      <c r="Z393" s="1042"/>
      <c r="AA393" s="1042"/>
      <c r="AX393" s="1042"/>
    </row>
    <row r="394" spans="1:50">
      <c r="A394" s="1042"/>
      <c r="Y394" s="1042"/>
      <c r="Z394" s="1042"/>
      <c r="AA394" s="1042"/>
      <c r="AX394" s="1042"/>
    </row>
    <row r="395" spans="1:50">
      <c r="A395" s="1042"/>
      <c r="Y395" s="1042"/>
      <c r="Z395" s="1042"/>
      <c r="AA395" s="1042"/>
      <c r="AX395" s="1042"/>
    </row>
    <row r="396" spans="1:50">
      <c r="A396" s="1042"/>
      <c r="Y396" s="1042"/>
      <c r="Z396" s="1042"/>
      <c r="AA396" s="1042"/>
      <c r="AX396" s="1042"/>
    </row>
    <row r="397" spans="1:50">
      <c r="A397" s="1042"/>
      <c r="Y397" s="1042"/>
      <c r="Z397" s="1042"/>
      <c r="AA397" s="1042"/>
      <c r="AX397" s="1042"/>
    </row>
    <row r="398" spans="1:50">
      <c r="A398" s="1042"/>
      <c r="Y398" s="1042"/>
      <c r="Z398" s="1042"/>
      <c r="AA398" s="1042"/>
      <c r="AX398" s="1042"/>
    </row>
    <row r="399" spans="1:50">
      <c r="A399" s="1042"/>
      <c r="Y399" s="1042"/>
      <c r="Z399" s="1042"/>
      <c r="AA399" s="1042"/>
      <c r="AX399" s="1042"/>
    </row>
    <row r="400" spans="1:50">
      <c r="A400" s="1042"/>
      <c r="Y400" s="1042"/>
      <c r="Z400" s="1042"/>
      <c r="AA400" s="1042"/>
      <c r="AX400" s="1042"/>
    </row>
    <row r="401" spans="1:50">
      <c r="A401" s="1042"/>
      <c r="Y401" s="1042"/>
      <c r="Z401" s="1042"/>
      <c r="AA401" s="1042"/>
      <c r="AX401" s="1042"/>
    </row>
    <row r="402" spans="1:50">
      <c r="A402" s="1042"/>
      <c r="Y402" s="1042"/>
      <c r="Z402" s="1042"/>
      <c r="AA402" s="1042"/>
      <c r="AX402" s="1042"/>
    </row>
    <row r="403" spans="1:50">
      <c r="A403" s="1042"/>
      <c r="Y403" s="1042"/>
      <c r="Z403" s="1042"/>
      <c r="AA403" s="1042"/>
      <c r="AX403" s="1042"/>
    </row>
    <row r="404" spans="1:50">
      <c r="A404" s="1042"/>
      <c r="Y404" s="1042"/>
      <c r="Z404" s="1042"/>
      <c r="AA404" s="1042"/>
      <c r="AX404" s="1042"/>
    </row>
    <row r="405" spans="1:50">
      <c r="A405" s="1042"/>
      <c r="Y405" s="1042"/>
      <c r="Z405" s="1042"/>
      <c r="AA405" s="1042"/>
      <c r="AX405" s="1042"/>
    </row>
    <row r="406" spans="1:50">
      <c r="A406" s="1042"/>
      <c r="Y406" s="1042"/>
      <c r="Z406" s="1042"/>
      <c r="AA406" s="1042"/>
      <c r="AX406" s="1042"/>
    </row>
    <row r="407" spans="1:50">
      <c r="A407" s="1042"/>
      <c r="Y407" s="1042"/>
      <c r="Z407" s="1042"/>
      <c r="AA407" s="1042"/>
      <c r="AX407" s="1042"/>
    </row>
    <row r="408" spans="1:50">
      <c r="A408" s="1042"/>
      <c r="Y408" s="1042"/>
      <c r="Z408" s="1042"/>
      <c r="AA408" s="1042"/>
      <c r="AX408" s="1042"/>
    </row>
    <row r="409" spans="1:50">
      <c r="A409" s="1042"/>
      <c r="Y409" s="1042"/>
      <c r="Z409" s="1042"/>
      <c r="AA409" s="1042"/>
      <c r="AX409" s="1042"/>
    </row>
    <row r="410" spans="1:50">
      <c r="A410" s="1042"/>
      <c r="Y410" s="1042"/>
      <c r="Z410" s="1042"/>
      <c r="AA410" s="1042"/>
      <c r="AX410" s="1042"/>
    </row>
    <row r="411" spans="1:50">
      <c r="A411" s="1042"/>
      <c r="Y411" s="1042"/>
      <c r="Z411" s="1042"/>
      <c r="AA411" s="1042"/>
      <c r="AX411" s="1042"/>
    </row>
    <row r="412" spans="1:50">
      <c r="A412" s="1042"/>
      <c r="Y412" s="1042"/>
      <c r="Z412" s="1042"/>
      <c r="AA412" s="1042"/>
      <c r="AX412" s="1042"/>
    </row>
    <row r="413" spans="1:50">
      <c r="A413" s="1042"/>
      <c r="Y413" s="1042"/>
      <c r="Z413" s="1042"/>
      <c r="AA413" s="1042"/>
      <c r="AX413" s="1042"/>
    </row>
    <row r="414" spans="1:50">
      <c r="A414" s="1042"/>
      <c r="Y414" s="1042"/>
      <c r="Z414" s="1042"/>
      <c r="AA414" s="1042"/>
      <c r="AX414" s="1042"/>
    </row>
    <row r="415" spans="1:50">
      <c r="A415" s="1042"/>
      <c r="Y415" s="1042"/>
      <c r="Z415" s="1042"/>
      <c r="AA415" s="1042"/>
      <c r="AX415" s="1042"/>
    </row>
    <row r="416" spans="1:50">
      <c r="A416" s="1042"/>
      <c r="Y416" s="1042"/>
      <c r="Z416" s="1042"/>
      <c r="AA416" s="1042"/>
      <c r="AX416" s="1042"/>
    </row>
    <row r="417" spans="1:50">
      <c r="A417" s="1042"/>
      <c r="Y417" s="1042"/>
      <c r="Z417" s="1042"/>
      <c r="AA417" s="1042"/>
      <c r="AX417" s="1042"/>
    </row>
    <row r="418" spans="1:50">
      <c r="A418" s="1042"/>
      <c r="Y418" s="1042"/>
      <c r="Z418" s="1042"/>
      <c r="AA418" s="1042"/>
      <c r="AX418" s="1042"/>
    </row>
    <row r="419" spans="1:50">
      <c r="A419" s="1042"/>
      <c r="Y419" s="1042"/>
      <c r="Z419" s="1042"/>
      <c r="AA419" s="1042"/>
      <c r="AX419" s="1042"/>
    </row>
    <row r="420" spans="1:50">
      <c r="A420" s="1042"/>
      <c r="Y420" s="1042"/>
      <c r="Z420" s="1042"/>
      <c r="AA420" s="1042"/>
      <c r="AX420" s="1042"/>
    </row>
    <row r="421" spans="1:50">
      <c r="A421" s="1042"/>
      <c r="Y421" s="1042"/>
      <c r="Z421" s="1042"/>
      <c r="AA421" s="1042"/>
      <c r="AX421" s="1042"/>
    </row>
    <row r="422" spans="1:50">
      <c r="A422" s="1042"/>
      <c r="Y422" s="1042"/>
      <c r="Z422" s="1042"/>
      <c r="AA422" s="1042"/>
      <c r="AX422" s="1042"/>
    </row>
    <row r="423" spans="1:50">
      <c r="A423" s="1042"/>
      <c r="Y423" s="1042"/>
      <c r="Z423" s="1042"/>
      <c r="AA423" s="1042"/>
      <c r="AX423" s="1042"/>
    </row>
    <row r="424" spans="1:50">
      <c r="A424" s="1042"/>
      <c r="Y424" s="1042"/>
      <c r="Z424" s="1042"/>
      <c r="AA424" s="1042"/>
      <c r="AX424" s="1042"/>
    </row>
    <row r="425" spans="1:50">
      <c r="A425" s="1042"/>
      <c r="Y425" s="1042"/>
      <c r="Z425" s="1042"/>
      <c r="AA425" s="1042"/>
      <c r="AX425" s="1042"/>
    </row>
    <row r="426" spans="1:50">
      <c r="A426" s="1042"/>
      <c r="Y426" s="1042"/>
      <c r="Z426" s="1042"/>
      <c r="AA426" s="1042"/>
      <c r="AX426" s="1042"/>
    </row>
    <row r="427" spans="1:50">
      <c r="A427" s="1042"/>
      <c r="Y427" s="1042"/>
      <c r="Z427" s="1042"/>
      <c r="AA427" s="1042"/>
      <c r="AX427" s="1042"/>
    </row>
    <row r="428" spans="1:50">
      <c r="A428" s="1042"/>
      <c r="Y428" s="1042"/>
      <c r="Z428" s="1042"/>
      <c r="AA428" s="1042"/>
      <c r="AX428" s="1042"/>
    </row>
    <row r="429" spans="1:50">
      <c r="A429" s="1042"/>
      <c r="Y429" s="1042"/>
      <c r="Z429" s="1042"/>
      <c r="AA429" s="1042"/>
      <c r="AX429" s="1042"/>
    </row>
    <row r="430" spans="1:50">
      <c r="A430" s="1042"/>
      <c r="Y430" s="1042"/>
      <c r="Z430" s="1042"/>
      <c r="AA430" s="1042"/>
      <c r="AX430" s="1042"/>
    </row>
    <row r="431" spans="1:50">
      <c r="A431" s="1042"/>
      <c r="Y431" s="1042"/>
      <c r="Z431" s="1042"/>
      <c r="AA431" s="1042"/>
      <c r="AX431" s="1042"/>
    </row>
    <row r="432" spans="1:50">
      <c r="A432" s="1042"/>
      <c r="Y432" s="1042"/>
      <c r="Z432" s="1042"/>
      <c r="AA432" s="1042"/>
      <c r="AX432" s="1042"/>
    </row>
    <row r="433" spans="1:50">
      <c r="A433" s="1042"/>
      <c r="Y433" s="1042"/>
      <c r="Z433" s="1042"/>
      <c r="AA433" s="1042"/>
      <c r="AX433" s="1042"/>
    </row>
    <row r="434" spans="1:50">
      <c r="A434" s="1042"/>
      <c r="Y434" s="1042"/>
      <c r="Z434" s="1042"/>
      <c r="AA434" s="1042"/>
      <c r="AX434" s="1042"/>
    </row>
    <row r="435" spans="1:50">
      <c r="A435" s="1042"/>
      <c r="Y435" s="1042"/>
      <c r="Z435" s="1042"/>
      <c r="AA435" s="1042"/>
      <c r="AX435" s="1042"/>
    </row>
    <row r="436" spans="1:50">
      <c r="A436" s="1042"/>
      <c r="Y436" s="1042"/>
      <c r="Z436" s="1042"/>
      <c r="AA436" s="1042"/>
      <c r="AX436" s="1042"/>
    </row>
    <row r="437" spans="1:50">
      <c r="A437" s="1042"/>
      <c r="Y437" s="1042"/>
      <c r="Z437" s="1042"/>
      <c r="AA437" s="1042"/>
      <c r="AX437" s="1042"/>
    </row>
    <row r="438" spans="1:50">
      <c r="A438" s="1042"/>
      <c r="Y438" s="1042"/>
      <c r="Z438" s="1042"/>
      <c r="AA438" s="1042"/>
      <c r="AX438" s="1042"/>
    </row>
    <row r="439" spans="1:50">
      <c r="A439" s="1042"/>
      <c r="Y439" s="1042"/>
      <c r="Z439" s="1042"/>
      <c r="AA439" s="1042"/>
      <c r="AX439" s="1042"/>
    </row>
    <row r="440" spans="1:50">
      <c r="A440" s="1042"/>
      <c r="Y440" s="1042"/>
      <c r="Z440" s="1042"/>
      <c r="AA440" s="1042"/>
      <c r="AX440" s="1042"/>
    </row>
    <row r="441" spans="1:50">
      <c r="A441" s="1042"/>
      <c r="Y441" s="1042"/>
      <c r="Z441" s="1042"/>
      <c r="AA441" s="1042"/>
      <c r="AX441" s="1042"/>
    </row>
    <row r="442" spans="1:50">
      <c r="A442" s="1042"/>
      <c r="Y442" s="1042"/>
      <c r="Z442" s="1042"/>
      <c r="AA442" s="1042"/>
      <c r="AX442" s="1042"/>
    </row>
    <row r="443" spans="1:50">
      <c r="A443" s="1042"/>
      <c r="Y443" s="1042"/>
      <c r="Z443" s="1042"/>
      <c r="AA443" s="1042"/>
      <c r="AX443" s="1042"/>
    </row>
    <row r="444" spans="1:50">
      <c r="A444" s="1042"/>
      <c r="Y444" s="1042"/>
      <c r="Z444" s="1042"/>
      <c r="AA444" s="1042"/>
      <c r="AX444" s="1042"/>
    </row>
    <row r="445" spans="1:50">
      <c r="A445" s="1042"/>
      <c r="Y445" s="1042"/>
      <c r="Z445" s="1042"/>
      <c r="AA445" s="1042"/>
      <c r="AX445" s="1042"/>
    </row>
    <row r="446" spans="1:50">
      <c r="A446" s="1042"/>
      <c r="Y446" s="1042"/>
      <c r="Z446" s="1042"/>
      <c r="AA446" s="1042"/>
      <c r="AX446" s="1042"/>
    </row>
    <row r="447" spans="1:50">
      <c r="A447" s="1042"/>
      <c r="Y447" s="1042"/>
      <c r="Z447" s="1042"/>
      <c r="AA447" s="1042"/>
      <c r="AX447" s="1042"/>
    </row>
    <row r="448" spans="1:50">
      <c r="A448" s="1042"/>
      <c r="Y448" s="1042"/>
      <c r="Z448" s="1042"/>
      <c r="AA448" s="1042"/>
      <c r="AX448" s="1042"/>
    </row>
    <row r="449" spans="1:50">
      <c r="A449" s="1042"/>
      <c r="Y449" s="1042"/>
      <c r="Z449" s="1042"/>
      <c r="AA449" s="1042"/>
      <c r="AX449" s="1042"/>
    </row>
    <row r="450" spans="1:50">
      <c r="A450" s="1042"/>
      <c r="Y450" s="1042"/>
      <c r="Z450" s="1042"/>
      <c r="AA450" s="1042"/>
      <c r="AX450" s="1042"/>
    </row>
    <row r="451" spans="1:50">
      <c r="A451" s="1042"/>
      <c r="Y451" s="1042"/>
      <c r="Z451" s="1042"/>
      <c r="AA451" s="1042"/>
      <c r="AX451" s="1042"/>
    </row>
    <row r="452" spans="1:50">
      <c r="A452" s="1042"/>
      <c r="Y452" s="1042"/>
      <c r="Z452" s="1042"/>
      <c r="AA452" s="1042"/>
      <c r="AX452" s="1042"/>
    </row>
    <row r="453" spans="1:50">
      <c r="A453" s="1042"/>
      <c r="Y453" s="1042"/>
      <c r="Z453" s="1042"/>
      <c r="AA453" s="1042"/>
      <c r="AX453" s="1042"/>
    </row>
    <row r="454" spans="1:50">
      <c r="A454" s="1042"/>
      <c r="Y454" s="1042"/>
      <c r="Z454" s="1042"/>
      <c r="AA454" s="1042"/>
      <c r="AX454" s="1042"/>
    </row>
    <row r="455" spans="1:50">
      <c r="A455" s="1042"/>
      <c r="Y455" s="1042"/>
      <c r="Z455" s="1042"/>
      <c r="AA455" s="1042"/>
      <c r="AX455" s="1042"/>
    </row>
    <row r="456" spans="1:50">
      <c r="A456" s="1042"/>
      <c r="Y456" s="1042"/>
      <c r="Z456" s="1042"/>
      <c r="AA456" s="1042"/>
      <c r="AX456" s="1042"/>
    </row>
    <row r="457" spans="1:50">
      <c r="A457" s="1042"/>
      <c r="Y457" s="1042"/>
      <c r="Z457" s="1042"/>
      <c r="AA457" s="1042"/>
      <c r="AX457" s="1042"/>
    </row>
    <row r="458" spans="1:50">
      <c r="A458" s="1042"/>
      <c r="Y458" s="1042"/>
      <c r="Z458" s="1042"/>
      <c r="AA458" s="1042"/>
      <c r="AX458" s="1042"/>
    </row>
    <row r="459" spans="1:50">
      <c r="A459" s="1042"/>
      <c r="Y459" s="1042"/>
      <c r="Z459" s="1042"/>
      <c r="AA459" s="1042"/>
      <c r="AX459" s="1042"/>
    </row>
    <row r="460" spans="1:50">
      <c r="A460" s="1042"/>
      <c r="Y460" s="1042"/>
      <c r="Z460" s="1042"/>
      <c r="AA460" s="1042"/>
      <c r="AX460" s="1042"/>
    </row>
    <row r="461" spans="1:50">
      <c r="A461" s="1042"/>
      <c r="Y461" s="1042"/>
      <c r="Z461" s="1042"/>
      <c r="AA461" s="1042"/>
      <c r="AX461" s="1042"/>
    </row>
    <row r="462" spans="1:50">
      <c r="A462" s="1042"/>
      <c r="Y462" s="1042"/>
      <c r="Z462" s="1042"/>
      <c r="AA462" s="1042"/>
      <c r="AX462" s="1042"/>
    </row>
    <row r="463" spans="1:50">
      <c r="A463" s="1042"/>
      <c r="Y463" s="1042"/>
      <c r="Z463" s="1042"/>
      <c r="AA463" s="1042"/>
      <c r="AX463" s="1042"/>
    </row>
    <row r="464" spans="1:50">
      <c r="A464" s="1042"/>
      <c r="Y464" s="1042"/>
      <c r="Z464" s="1042"/>
      <c r="AA464" s="1042"/>
      <c r="AX464" s="1042"/>
    </row>
    <row r="465" spans="1:50">
      <c r="A465" s="1042"/>
      <c r="Y465" s="1042"/>
      <c r="Z465" s="1042"/>
      <c r="AA465" s="1042"/>
      <c r="AX465" s="1042"/>
    </row>
    <row r="466" spans="1:50">
      <c r="A466" s="1042"/>
      <c r="Y466" s="1042"/>
      <c r="Z466" s="1042"/>
      <c r="AA466" s="1042"/>
      <c r="AX466" s="1042"/>
    </row>
    <row r="467" spans="1:50">
      <c r="A467" s="1042"/>
      <c r="Y467" s="1042"/>
      <c r="Z467" s="1042"/>
      <c r="AA467" s="1042"/>
      <c r="AX467" s="1042"/>
    </row>
    <row r="468" spans="1:50">
      <c r="A468" s="1042"/>
      <c r="Y468" s="1042"/>
      <c r="Z468" s="1042"/>
      <c r="AA468" s="1042"/>
      <c r="AX468" s="1042"/>
    </row>
    <row r="469" spans="1:50">
      <c r="A469" s="1042"/>
      <c r="Y469" s="1042"/>
      <c r="Z469" s="1042"/>
      <c r="AA469" s="1042"/>
      <c r="AX469" s="1042"/>
    </row>
    <row r="470" spans="1:50">
      <c r="A470" s="1042"/>
      <c r="Y470" s="1042"/>
      <c r="Z470" s="1042"/>
      <c r="AA470" s="1042"/>
      <c r="AX470" s="1042"/>
    </row>
    <row r="471" spans="1:50">
      <c r="A471" s="1042"/>
      <c r="Y471" s="1042"/>
      <c r="Z471" s="1042"/>
      <c r="AA471" s="1042"/>
      <c r="AX471" s="1042"/>
    </row>
    <row r="472" spans="1:50">
      <c r="A472" s="1042"/>
      <c r="Y472" s="1042"/>
      <c r="Z472" s="1042"/>
      <c r="AA472" s="1042"/>
      <c r="AX472" s="1042"/>
    </row>
    <row r="473" spans="1:50">
      <c r="A473" s="1042"/>
      <c r="Y473" s="1042"/>
      <c r="Z473" s="1042"/>
      <c r="AA473" s="1042"/>
      <c r="AX473" s="1042"/>
    </row>
    <row r="474" spans="1:50">
      <c r="A474" s="1042"/>
      <c r="Y474" s="1042"/>
      <c r="Z474" s="1042"/>
      <c r="AA474" s="1042"/>
      <c r="AX474" s="1042"/>
    </row>
    <row r="475" spans="1:50">
      <c r="A475" s="1042"/>
      <c r="Y475" s="1042"/>
      <c r="Z475" s="1042"/>
      <c r="AA475" s="1042"/>
      <c r="AX475" s="1042"/>
    </row>
    <row r="476" spans="1:50">
      <c r="A476" s="1042"/>
      <c r="Y476" s="1042"/>
      <c r="Z476" s="1042"/>
      <c r="AA476" s="1042"/>
      <c r="AX476" s="1042"/>
    </row>
    <row r="477" spans="1:50">
      <c r="A477" s="1042"/>
      <c r="Y477" s="1042"/>
      <c r="Z477" s="1042"/>
      <c r="AA477" s="1042"/>
      <c r="AX477" s="1042"/>
    </row>
    <row r="478" spans="1:50">
      <c r="A478" s="1042"/>
      <c r="Y478" s="1042"/>
      <c r="Z478" s="1042"/>
      <c r="AA478" s="1042"/>
      <c r="AX478" s="1042"/>
    </row>
    <row r="479" spans="1:50">
      <c r="A479" s="1042"/>
      <c r="Y479" s="1042"/>
      <c r="Z479" s="1042"/>
      <c r="AA479" s="1042"/>
      <c r="AX479" s="1042"/>
    </row>
    <row r="480" spans="1:50">
      <c r="A480" s="1042"/>
      <c r="Y480" s="1042"/>
      <c r="Z480" s="1042"/>
      <c r="AA480" s="1042"/>
      <c r="AX480" s="1042"/>
    </row>
    <row r="481" spans="1:50">
      <c r="A481" s="1042"/>
      <c r="Y481" s="1042"/>
      <c r="Z481" s="1042"/>
      <c r="AA481" s="1042"/>
      <c r="AX481" s="1042"/>
    </row>
    <row r="482" spans="1:50">
      <c r="A482" s="1042"/>
      <c r="Y482" s="1042"/>
      <c r="Z482" s="1042"/>
      <c r="AA482" s="1042"/>
      <c r="AX482" s="1042"/>
    </row>
    <row r="483" spans="1:50">
      <c r="A483" s="1042"/>
      <c r="Y483" s="1042"/>
      <c r="Z483" s="1042"/>
      <c r="AA483" s="1042"/>
      <c r="AX483" s="1042"/>
    </row>
    <row r="484" spans="1:50">
      <c r="A484" s="1042"/>
      <c r="Y484" s="1042"/>
      <c r="Z484" s="1042"/>
      <c r="AA484" s="1042"/>
      <c r="AX484" s="1042"/>
    </row>
    <row r="485" spans="1:50">
      <c r="A485" s="1042"/>
      <c r="Y485" s="1042"/>
      <c r="Z485" s="1042"/>
      <c r="AA485" s="1042"/>
      <c r="AX485" s="1042"/>
    </row>
    <row r="486" spans="1:50">
      <c r="A486" s="1042"/>
      <c r="Y486" s="1042"/>
      <c r="Z486" s="1042"/>
      <c r="AA486" s="1042"/>
      <c r="AX486" s="1042"/>
    </row>
    <row r="487" spans="1:50">
      <c r="A487" s="1042"/>
      <c r="Y487" s="1042"/>
      <c r="Z487" s="1042"/>
      <c r="AA487" s="1042"/>
      <c r="AX487" s="1042"/>
    </row>
    <row r="488" spans="1:50">
      <c r="A488" s="1042"/>
      <c r="Y488" s="1042"/>
      <c r="Z488" s="1042"/>
      <c r="AA488" s="1042"/>
      <c r="AX488" s="1042"/>
    </row>
    <row r="489" spans="1:50">
      <c r="A489" s="1042"/>
      <c r="Y489" s="1042"/>
      <c r="Z489" s="1042"/>
      <c r="AA489" s="1042"/>
      <c r="AX489" s="1042"/>
    </row>
    <row r="490" spans="1:50">
      <c r="A490" s="1042"/>
      <c r="Y490" s="1042"/>
      <c r="Z490" s="1042"/>
      <c r="AA490" s="1042"/>
      <c r="AX490" s="1042"/>
    </row>
    <row r="491" spans="1:50">
      <c r="A491" s="1042"/>
      <c r="Y491" s="1042"/>
      <c r="Z491" s="1042"/>
      <c r="AA491" s="1042"/>
      <c r="AX491" s="1042"/>
    </row>
    <row r="492" spans="1:50">
      <c r="A492" s="1042"/>
      <c r="Y492" s="1042"/>
      <c r="Z492" s="1042"/>
      <c r="AA492" s="1042"/>
      <c r="AX492" s="1042"/>
    </row>
    <row r="493" spans="1:50">
      <c r="A493" s="1042"/>
      <c r="Y493" s="1042"/>
      <c r="Z493" s="1042"/>
      <c r="AA493" s="1042"/>
      <c r="AX493" s="1042"/>
    </row>
    <row r="494" spans="1:50">
      <c r="A494" s="1042"/>
      <c r="Y494" s="1042"/>
      <c r="Z494" s="1042"/>
      <c r="AA494" s="1042"/>
      <c r="AX494" s="1042"/>
    </row>
    <row r="495" spans="1:50">
      <c r="A495" s="1042"/>
      <c r="Y495" s="1042"/>
      <c r="Z495" s="1042"/>
      <c r="AA495" s="1042"/>
      <c r="AX495" s="1042"/>
    </row>
    <row r="496" spans="1:50">
      <c r="A496" s="1042"/>
      <c r="Y496" s="1042"/>
      <c r="Z496" s="1042"/>
      <c r="AA496" s="1042"/>
      <c r="AX496" s="1042"/>
    </row>
    <row r="497" spans="1:50">
      <c r="A497" s="1042"/>
      <c r="Y497" s="1042"/>
      <c r="Z497" s="1042"/>
      <c r="AA497" s="1042"/>
      <c r="AX497" s="1042"/>
    </row>
    <row r="498" spans="1:50">
      <c r="A498" s="1042"/>
      <c r="Y498" s="1042"/>
      <c r="Z498" s="1042"/>
      <c r="AA498" s="1042"/>
      <c r="AX498" s="1042"/>
    </row>
    <row r="499" spans="1:50">
      <c r="A499" s="1042"/>
      <c r="Y499" s="1042"/>
      <c r="Z499" s="1042"/>
      <c r="AA499" s="1042"/>
      <c r="AX499" s="1042"/>
    </row>
    <row r="500" spans="1:50">
      <c r="A500" s="1042"/>
      <c r="Y500" s="1042"/>
      <c r="Z500" s="1042"/>
      <c r="AA500" s="1042"/>
      <c r="AX500" s="1042"/>
    </row>
    <row r="501" spans="1:50">
      <c r="A501" s="1042"/>
      <c r="Y501" s="1042"/>
      <c r="Z501" s="1042"/>
      <c r="AA501" s="1042"/>
      <c r="AX501" s="1042"/>
    </row>
    <row r="502" spans="1:50">
      <c r="A502" s="1042"/>
      <c r="Y502" s="1042"/>
      <c r="Z502" s="1042"/>
      <c r="AA502" s="1042"/>
      <c r="AX502" s="1042"/>
    </row>
    <row r="503" spans="1:50">
      <c r="A503" s="1042"/>
      <c r="Y503" s="1042"/>
      <c r="Z503" s="1042"/>
      <c r="AA503" s="1042"/>
      <c r="AX503" s="1042"/>
    </row>
    <row r="504" spans="1:50">
      <c r="A504" s="1042"/>
      <c r="Y504" s="1042"/>
      <c r="Z504" s="1042"/>
      <c r="AA504" s="1042"/>
      <c r="AX504" s="1042"/>
    </row>
    <row r="505" spans="1:50">
      <c r="A505" s="1042"/>
      <c r="Y505" s="1042"/>
      <c r="Z505" s="1042"/>
      <c r="AA505" s="1042"/>
      <c r="AX505" s="1042"/>
    </row>
    <row r="506" spans="1:50">
      <c r="A506" s="1042"/>
      <c r="Y506" s="1042"/>
      <c r="Z506" s="1042"/>
      <c r="AA506" s="1042"/>
      <c r="AX506" s="1042"/>
    </row>
    <row r="507" spans="1:50">
      <c r="A507" s="1042"/>
      <c r="Y507" s="1042"/>
      <c r="Z507" s="1042"/>
      <c r="AA507" s="1042"/>
      <c r="AX507" s="1042"/>
    </row>
    <row r="508" spans="1:50">
      <c r="A508" s="1042"/>
      <c r="Y508" s="1042"/>
      <c r="Z508" s="1042"/>
      <c r="AA508" s="1042"/>
      <c r="AX508" s="1042"/>
    </row>
    <row r="509" spans="1:50">
      <c r="A509" s="1042"/>
      <c r="Y509" s="1042"/>
      <c r="Z509" s="1042"/>
      <c r="AA509" s="1042"/>
      <c r="AX509" s="1042"/>
    </row>
    <row r="510" spans="1:50">
      <c r="A510" s="1042"/>
      <c r="Y510" s="1042"/>
      <c r="Z510" s="1042"/>
      <c r="AA510" s="1042"/>
      <c r="AX510" s="1042"/>
    </row>
    <row r="511" spans="1:50">
      <c r="A511" s="1042"/>
      <c r="Y511" s="1042"/>
      <c r="Z511" s="1042"/>
      <c r="AA511" s="1042"/>
      <c r="AX511" s="1042"/>
    </row>
    <row r="512" spans="1:50">
      <c r="A512" s="1042"/>
      <c r="Y512" s="1042"/>
      <c r="Z512" s="1042"/>
      <c r="AA512" s="1042"/>
      <c r="AX512" s="1042"/>
    </row>
    <row r="513" spans="1:50">
      <c r="A513" s="1042"/>
      <c r="Y513" s="1042"/>
      <c r="Z513" s="1042"/>
      <c r="AA513" s="1042"/>
      <c r="AX513" s="1042"/>
    </row>
    <row r="514" spans="1:50">
      <c r="A514" s="1042"/>
      <c r="Y514" s="1042"/>
      <c r="Z514" s="1042"/>
      <c r="AA514" s="1042"/>
      <c r="AX514" s="1042"/>
    </row>
    <row r="515" spans="1:50">
      <c r="A515" s="1042"/>
      <c r="Y515" s="1042"/>
      <c r="Z515" s="1042"/>
      <c r="AA515" s="1042"/>
      <c r="AX515" s="1042"/>
    </row>
    <row r="516" spans="1:50">
      <c r="A516" s="1042"/>
      <c r="Y516" s="1042"/>
      <c r="Z516" s="1042"/>
      <c r="AA516" s="1042"/>
      <c r="AX516" s="1042"/>
    </row>
    <row r="517" spans="1:50">
      <c r="A517" s="1042"/>
      <c r="Y517" s="1042"/>
      <c r="Z517" s="1042"/>
      <c r="AA517" s="1042"/>
      <c r="AX517" s="1042"/>
    </row>
    <row r="518" spans="1:50">
      <c r="A518" s="1042"/>
      <c r="Y518" s="1042"/>
      <c r="Z518" s="1042"/>
      <c r="AA518" s="1042"/>
      <c r="AX518" s="1042"/>
    </row>
    <row r="519" spans="1:50">
      <c r="A519" s="1042"/>
      <c r="Y519" s="1042"/>
      <c r="Z519" s="1042"/>
      <c r="AA519" s="1042"/>
      <c r="AX519" s="1042"/>
    </row>
    <row r="520" spans="1:50">
      <c r="A520" s="1042"/>
      <c r="Y520" s="1042"/>
      <c r="Z520" s="1042"/>
      <c r="AA520" s="1042"/>
      <c r="AX520" s="1042"/>
    </row>
    <row r="521" spans="1:50">
      <c r="A521" s="1042"/>
      <c r="Y521" s="1042"/>
      <c r="Z521" s="1042"/>
      <c r="AA521" s="1042"/>
      <c r="AX521" s="1042"/>
    </row>
    <row r="522" spans="1:50">
      <c r="A522" s="1042"/>
      <c r="Y522" s="1042"/>
      <c r="Z522" s="1042"/>
      <c r="AA522" s="1042"/>
      <c r="AX522" s="1042"/>
    </row>
    <row r="523" spans="1:50">
      <c r="A523" s="1042"/>
      <c r="Y523" s="1042"/>
      <c r="Z523" s="1042"/>
      <c r="AA523" s="1042"/>
      <c r="AX523" s="1042"/>
    </row>
    <row r="524" spans="1:50">
      <c r="A524" s="1042"/>
      <c r="Y524" s="1042"/>
      <c r="Z524" s="1042"/>
      <c r="AA524" s="1042"/>
      <c r="AX524" s="1042"/>
    </row>
    <row r="525" spans="1:50">
      <c r="A525" s="1042"/>
      <c r="Y525" s="1042"/>
      <c r="Z525" s="1042"/>
      <c r="AA525" s="1042"/>
      <c r="AX525" s="1042"/>
    </row>
    <row r="526" spans="1:50">
      <c r="A526" s="1042"/>
      <c r="Y526" s="1042"/>
      <c r="Z526" s="1042"/>
      <c r="AA526" s="1042"/>
      <c r="AX526" s="1042"/>
    </row>
    <row r="527" spans="1:50">
      <c r="A527" s="1042"/>
      <c r="Y527" s="1042"/>
      <c r="Z527" s="1042"/>
      <c r="AA527" s="1042"/>
      <c r="AX527" s="1042"/>
    </row>
    <row r="528" spans="1:50">
      <c r="A528" s="1042"/>
      <c r="Y528" s="1042"/>
      <c r="Z528" s="1042"/>
      <c r="AA528" s="1042"/>
      <c r="AX528" s="1042"/>
    </row>
    <row r="529" spans="1:50">
      <c r="A529" s="1042"/>
      <c r="Y529" s="1042"/>
      <c r="Z529" s="1042"/>
      <c r="AA529" s="1042"/>
      <c r="AX529" s="1042"/>
    </row>
    <row r="530" spans="1:50">
      <c r="A530" s="1042"/>
      <c r="Y530" s="1042"/>
      <c r="Z530" s="1042"/>
      <c r="AA530" s="1042"/>
      <c r="AX530" s="1042"/>
    </row>
    <row r="531" spans="1:50">
      <c r="A531" s="1042"/>
      <c r="Y531" s="1042"/>
      <c r="Z531" s="1042"/>
      <c r="AA531" s="1042"/>
      <c r="AX531" s="1042"/>
    </row>
    <row r="532" spans="1:50">
      <c r="A532" s="1042"/>
      <c r="Y532" s="1042"/>
      <c r="Z532" s="1042"/>
      <c r="AA532" s="1042"/>
      <c r="AX532" s="1042"/>
    </row>
    <row r="533" spans="1:50">
      <c r="A533" s="1042"/>
      <c r="Y533" s="1042"/>
      <c r="Z533" s="1042"/>
      <c r="AA533" s="1042"/>
      <c r="AX533" s="1042"/>
    </row>
    <row r="534" spans="1:50">
      <c r="A534" s="1042"/>
      <c r="Y534" s="1042"/>
      <c r="Z534" s="1042"/>
      <c r="AA534" s="1042"/>
      <c r="AX534" s="1042"/>
    </row>
    <row r="535" spans="1:50">
      <c r="A535" s="1042"/>
      <c r="Y535" s="1042"/>
      <c r="Z535" s="1042"/>
      <c r="AA535" s="1042"/>
      <c r="AX535" s="1042"/>
    </row>
    <row r="536" spans="1:50">
      <c r="A536" s="1042"/>
      <c r="Y536" s="1042"/>
      <c r="Z536" s="1042"/>
      <c r="AA536" s="1042"/>
      <c r="AX536" s="1042"/>
    </row>
    <row r="537" spans="1:50">
      <c r="A537" s="1042"/>
      <c r="Y537" s="1042"/>
      <c r="Z537" s="1042"/>
      <c r="AA537" s="1042"/>
      <c r="AX537" s="1042"/>
    </row>
    <row r="538" spans="1:50">
      <c r="A538" s="1042"/>
      <c r="Y538" s="1042"/>
      <c r="Z538" s="1042"/>
      <c r="AA538" s="1042"/>
      <c r="AX538" s="1042"/>
    </row>
    <row r="539" spans="1:50">
      <c r="A539" s="1042"/>
      <c r="Y539" s="1042"/>
      <c r="Z539" s="1042"/>
      <c r="AA539" s="1042"/>
      <c r="AX539" s="1042"/>
    </row>
    <row r="540" spans="1:50">
      <c r="A540" s="1042"/>
      <c r="Y540" s="1042"/>
      <c r="Z540" s="1042"/>
      <c r="AA540" s="1042"/>
      <c r="AX540" s="1042"/>
    </row>
    <row r="541" spans="1:50">
      <c r="A541" s="1042"/>
      <c r="Y541" s="1042"/>
      <c r="Z541" s="1042"/>
      <c r="AA541" s="1042"/>
      <c r="AX541" s="1042"/>
    </row>
    <row r="542" spans="1:50">
      <c r="A542" s="1042"/>
      <c r="Y542" s="1042"/>
      <c r="Z542" s="1042"/>
      <c r="AA542" s="1042"/>
      <c r="AX542" s="1042"/>
    </row>
    <row r="543" spans="1:50">
      <c r="A543" s="1042"/>
      <c r="Y543" s="1042"/>
      <c r="Z543" s="1042"/>
      <c r="AA543" s="1042"/>
      <c r="AX543" s="1042"/>
    </row>
    <row r="544" spans="1:50">
      <c r="A544" s="1042"/>
      <c r="Y544" s="1042"/>
      <c r="Z544" s="1042"/>
      <c r="AA544" s="1042"/>
      <c r="AX544" s="1042"/>
    </row>
    <row r="545" spans="1:50">
      <c r="A545" s="1042"/>
      <c r="Y545" s="1042"/>
      <c r="Z545" s="1042"/>
      <c r="AA545" s="1042"/>
      <c r="AX545" s="1042"/>
    </row>
    <row r="546" spans="1:50">
      <c r="A546" s="1042"/>
      <c r="Y546" s="1042"/>
      <c r="Z546" s="1042"/>
      <c r="AA546" s="1042"/>
      <c r="AX546" s="1042"/>
    </row>
    <row r="547" spans="1:50">
      <c r="A547" s="1042"/>
      <c r="Y547" s="1042"/>
      <c r="Z547" s="1042"/>
      <c r="AA547" s="1042"/>
      <c r="AX547" s="1042"/>
    </row>
    <row r="548" spans="1:50">
      <c r="A548" s="1042"/>
      <c r="Y548" s="1042"/>
      <c r="Z548" s="1042"/>
      <c r="AA548" s="1042"/>
      <c r="AX548" s="1042"/>
    </row>
    <row r="549" spans="1:50">
      <c r="A549" s="1042"/>
      <c r="Y549" s="1042"/>
      <c r="Z549" s="1042"/>
      <c r="AA549" s="1042"/>
      <c r="AX549" s="1042"/>
    </row>
    <row r="550" spans="1:50">
      <c r="A550" s="1042"/>
      <c r="Y550" s="1042"/>
      <c r="Z550" s="1042"/>
      <c r="AA550" s="1042"/>
      <c r="AX550" s="1042"/>
    </row>
    <row r="551" spans="1:50">
      <c r="A551" s="1042"/>
      <c r="Y551" s="1042"/>
      <c r="Z551" s="1042"/>
      <c r="AA551" s="1042"/>
      <c r="AX551" s="1042"/>
    </row>
    <row r="552" spans="1:50">
      <c r="A552" s="1042"/>
      <c r="Y552" s="1042"/>
      <c r="Z552" s="1042"/>
      <c r="AA552" s="1042"/>
      <c r="AX552" s="1042"/>
    </row>
    <row r="553" spans="1:50">
      <c r="A553" s="1042"/>
      <c r="Y553" s="1042"/>
      <c r="Z553" s="1042"/>
      <c r="AA553" s="1042"/>
      <c r="AX553" s="1042"/>
    </row>
    <row r="554" spans="1:50">
      <c r="A554" s="1042"/>
      <c r="Y554" s="1042"/>
      <c r="Z554" s="1042"/>
      <c r="AA554" s="1042"/>
      <c r="AX554" s="1042"/>
    </row>
    <row r="555" spans="1:50">
      <c r="A555" s="1042"/>
      <c r="Y555" s="1042"/>
      <c r="Z555" s="1042"/>
      <c r="AA555" s="1042"/>
      <c r="AX555" s="1042"/>
    </row>
    <row r="556" spans="1:50">
      <c r="A556" s="1042"/>
      <c r="Y556" s="1042"/>
      <c r="Z556" s="1042"/>
      <c r="AA556" s="1042"/>
      <c r="AX556" s="1042"/>
    </row>
    <row r="557" spans="1:50">
      <c r="A557" s="1042"/>
      <c r="Y557" s="1042"/>
      <c r="Z557" s="1042"/>
      <c r="AA557" s="1042"/>
      <c r="AX557" s="1042"/>
    </row>
    <row r="558" spans="1:50">
      <c r="A558" s="1042"/>
      <c r="Y558" s="1042"/>
      <c r="Z558" s="1042"/>
      <c r="AA558" s="1042"/>
      <c r="AX558" s="1042"/>
    </row>
    <row r="559" spans="1:50">
      <c r="A559" s="1042"/>
      <c r="Y559" s="1042"/>
      <c r="Z559" s="1042"/>
      <c r="AA559" s="1042"/>
      <c r="AX559" s="1042"/>
    </row>
    <row r="560" spans="1:50">
      <c r="A560" s="1042"/>
      <c r="Y560" s="1042"/>
      <c r="Z560" s="1042"/>
      <c r="AA560" s="1042"/>
      <c r="AX560" s="1042"/>
    </row>
    <row r="561" spans="1:50">
      <c r="A561" s="1042"/>
      <c r="Y561" s="1042"/>
      <c r="Z561" s="1042"/>
      <c r="AA561" s="1042"/>
      <c r="AX561" s="1042"/>
    </row>
    <row r="562" spans="1:50">
      <c r="A562" s="1042"/>
      <c r="Y562" s="1042"/>
      <c r="Z562" s="1042"/>
      <c r="AA562" s="1042"/>
      <c r="AX562" s="1042"/>
    </row>
    <row r="563" spans="1:50">
      <c r="A563" s="1042"/>
      <c r="Y563" s="1042"/>
      <c r="Z563" s="1042"/>
      <c r="AA563" s="1042"/>
      <c r="AX563" s="1042"/>
    </row>
    <row r="564" spans="1:50">
      <c r="A564" s="1042"/>
      <c r="Y564" s="1042"/>
      <c r="Z564" s="1042"/>
      <c r="AA564" s="1042"/>
      <c r="AX564" s="1042"/>
    </row>
    <row r="565" spans="1:50">
      <c r="A565" s="1042"/>
      <c r="Y565" s="1042"/>
      <c r="Z565" s="1042"/>
      <c r="AA565" s="1042"/>
      <c r="AX565" s="1042"/>
    </row>
    <row r="566" spans="1:50">
      <c r="A566" s="1042"/>
      <c r="Y566" s="1042"/>
      <c r="Z566" s="1042"/>
      <c r="AA566" s="1042"/>
      <c r="AX566" s="1042"/>
    </row>
    <row r="567" spans="1:50">
      <c r="A567" s="1042"/>
      <c r="Y567" s="1042"/>
      <c r="Z567" s="1042"/>
      <c r="AA567" s="1042"/>
      <c r="AX567" s="1042"/>
    </row>
    <row r="568" spans="1:50">
      <c r="A568" s="1042"/>
      <c r="Y568" s="1042"/>
      <c r="Z568" s="1042"/>
      <c r="AA568" s="1042"/>
      <c r="AX568" s="1042"/>
    </row>
    <row r="569" spans="1:50">
      <c r="A569" s="1042"/>
      <c r="Y569" s="1042"/>
      <c r="Z569" s="1042"/>
      <c r="AA569" s="1042"/>
      <c r="AX569" s="1042"/>
    </row>
    <row r="570" spans="1:50">
      <c r="A570" s="1042"/>
      <c r="Y570" s="1042"/>
      <c r="Z570" s="1042"/>
      <c r="AA570" s="1042"/>
      <c r="AX570" s="1042"/>
    </row>
    <row r="571" spans="1:50">
      <c r="A571" s="1042"/>
      <c r="Y571" s="1042"/>
      <c r="Z571" s="1042"/>
      <c r="AA571" s="1042"/>
      <c r="AX571" s="1042"/>
    </row>
    <row r="572" spans="1:50">
      <c r="A572" s="1042"/>
      <c r="Y572" s="1042"/>
      <c r="Z572" s="1042"/>
      <c r="AA572" s="1042"/>
      <c r="AX572" s="1042"/>
    </row>
    <row r="573" spans="1:50">
      <c r="A573" s="1042"/>
      <c r="Y573" s="1042"/>
      <c r="Z573" s="1042"/>
      <c r="AA573" s="1042"/>
      <c r="AX573" s="1042"/>
    </row>
    <row r="574" spans="1:50">
      <c r="A574" s="1042"/>
      <c r="Y574" s="1042"/>
      <c r="Z574" s="1042"/>
      <c r="AA574" s="1042"/>
      <c r="AX574" s="1042"/>
    </row>
    <row r="575" spans="1:50">
      <c r="A575" s="1042"/>
      <c r="Y575" s="1042"/>
      <c r="Z575" s="1042"/>
      <c r="AA575" s="1042"/>
      <c r="AX575" s="1042"/>
    </row>
    <row r="576" spans="1:50">
      <c r="A576" s="1042"/>
      <c r="Y576" s="1042"/>
      <c r="Z576" s="1042"/>
      <c r="AA576" s="1042"/>
      <c r="AX576" s="1042"/>
    </row>
    <row r="577" spans="1:50">
      <c r="A577" s="1042"/>
      <c r="Y577" s="1042"/>
      <c r="Z577" s="1042"/>
      <c r="AA577" s="1042"/>
      <c r="AX577" s="1042"/>
    </row>
    <row r="578" spans="1:50">
      <c r="A578" s="1042"/>
      <c r="Y578" s="1042"/>
      <c r="Z578" s="1042"/>
      <c r="AA578" s="1042"/>
      <c r="AX578" s="1042"/>
    </row>
    <row r="579" spans="1:50">
      <c r="A579" s="1042"/>
      <c r="Y579" s="1042"/>
      <c r="Z579" s="1042"/>
      <c r="AA579" s="1042"/>
      <c r="AX579" s="1042"/>
    </row>
    <row r="580" spans="1:50">
      <c r="A580" s="1042"/>
      <c r="Y580" s="1042"/>
      <c r="Z580" s="1042"/>
      <c r="AA580" s="1042"/>
      <c r="AX580" s="1042"/>
    </row>
    <row r="581" spans="1:50">
      <c r="A581" s="1042"/>
      <c r="Y581" s="1042"/>
      <c r="Z581" s="1042"/>
      <c r="AA581" s="1042"/>
      <c r="AX581" s="1042"/>
    </row>
    <row r="582" spans="1:50">
      <c r="A582" s="1042"/>
      <c r="Y582" s="1042"/>
      <c r="Z582" s="1042"/>
      <c r="AA582" s="1042"/>
      <c r="AX582" s="1042"/>
    </row>
    <row r="583" spans="1:50">
      <c r="A583" s="1042"/>
      <c r="Y583" s="1042"/>
      <c r="Z583" s="1042"/>
      <c r="AA583" s="1042"/>
      <c r="AX583" s="1042"/>
    </row>
    <row r="584" spans="1:50">
      <c r="A584" s="1042"/>
      <c r="Y584" s="1042"/>
      <c r="Z584" s="1042"/>
      <c r="AA584" s="1042"/>
      <c r="AX584" s="1042"/>
    </row>
    <row r="585" spans="1:50">
      <c r="A585" s="1042"/>
      <c r="Y585" s="1042"/>
      <c r="Z585" s="1042"/>
      <c r="AA585" s="1042"/>
      <c r="AX585" s="1042"/>
    </row>
    <row r="586" spans="1:50">
      <c r="A586" s="1042"/>
      <c r="Y586" s="1042"/>
      <c r="Z586" s="1042"/>
      <c r="AA586" s="1042"/>
      <c r="AX586" s="1042"/>
    </row>
    <row r="587" spans="1:50">
      <c r="A587" s="1042"/>
      <c r="Y587" s="1042"/>
      <c r="Z587" s="1042"/>
      <c r="AA587" s="1042"/>
      <c r="AX587" s="1042"/>
    </row>
    <row r="588" spans="1:50">
      <c r="A588" s="1042"/>
      <c r="Y588" s="1042"/>
      <c r="Z588" s="1042"/>
      <c r="AA588" s="1042"/>
      <c r="AX588" s="1042"/>
    </row>
    <row r="589" spans="1:50">
      <c r="A589" s="1042"/>
      <c r="Y589" s="1042"/>
      <c r="Z589" s="1042"/>
      <c r="AA589" s="1042"/>
      <c r="AX589" s="1042"/>
    </row>
    <row r="590" spans="1:50">
      <c r="A590" s="1042"/>
      <c r="Y590" s="1042"/>
      <c r="Z590" s="1042"/>
      <c r="AA590" s="1042"/>
      <c r="AX590" s="1042"/>
    </row>
    <row r="591" spans="1:50">
      <c r="A591" s="1042"/>
      <c r="Y591" s="1042"/>
      <c r="Z591" s="1042"/>
      <c r="AA591" s="1042"/>
      <c r="AX591" s="1042"/>
    </row>
    <row r="592" spans="1:50">
      <c r="A592" s="1042"/>
      <c r="Y592" s="1042"/>
      <c r="Z592" s="1042"/>
      <c r="AA592" s="1042"/>
      <c r="AX592" s="1042"/>
    </row>
    <row r="593" spans="1:50">
      <c r="A593" s="1042"/>
      <c r="Y593" s="1042"/>
      <c r="Z593" s="1042"/>
      <c r="AA593" s="1042"/>
      <c r="AX593" s="1042"/>
    </row>
    <row r="594" spans="1:50">
      <c r="A594" s="1042"/>
      <c r="Y594" s="1042"/>
      <c r="Z594" s="1042"/>
      <c r="AA594" s="1042"/>
      <c r="AX594" s="1042"/>
    </row>
    <row r="595" spans="1:50">
      <c r="A595" s="1042"/>
      <c r="Y595" s="1042"/>
      <c r="Z595" s="1042"/>
      <c r="AA595" s="1042"/>
      <c r="AX595" s="1042"/>
    </row>
    <row r="596" spans="1:50">
      <c r="A596" s="1042"/>
      <c r="Y596" s="1042"/>
      <c r="Z596" s="1042"/>
      <c r="AA596" s="1042"/>
      <c r="AX596" s="1042"/>
    </row>
    <row r="597" spans="1:50">
      <c r="A597" s="1042"/>
      <c r="Y597" s="1042"/>
      <c r="Z597" s="1042"/>
      <c r="AA597" s="1042"/>
      <c r="AX597" s="1042"/>
    </row>
    <row r="598" spans="1:50">
      <c r="A598" s="1042"/>
      <c r="Y598" s="1042"/>
      <c r="Z598" s="1042"/>
      <c r="AA598" s="1042"/>
      <c r="AX598" s="1042"/>
    </row>
    <row r="599" spans="1:50">
      <c r="A599" s="1042"/>
      <c r="Y599" s="1042"/>
      <c r="Z599" s="1042"/>
      <c r="AA599" s="1042"/>
      <c r="AX599" s="1042"/>
    </row>
    <row r="600" spans="1:50">
      <c r="A600" s="1042"/>
      <c r="Y600" s="1042"/>
      <c r="Z600" s="1042"/>
      <c r="AA600" s="1042"/>
      <c r="AX600" s="1042"/>
    </row>
    <row r="601" spans="1:50">
      <c r="A601" s="1042"/>
      <c r="Y601" s="1042"/>
      <c r="Z601" s="1042"/>
      <c r="AA601" s="1042"/>
      <c r="AX601" s="1042"/>
    </row>
    <row r="602" spans="1:50">
      <c r="A602" s="1042"/>
      <c r="Y602" s="1042"/>
      <c r="Z602" s="1042"/>
      <c r="AA602" s="1042"/>
      <c r="AX602" s="1042"/>
    </row>
    <row r="603" spans="1:50">
      <c r="A603" s="1042"/>
      <c r="Y603" s="1042"/>
      <c r="Z603" s="1042"/>
      <c r="AA603" s="1042"/>
      <c r="AX603" s="1042"/>
    </row>
    <row r="604" spans="1:50">
      <c r="A604" s="1042"/>
      <c r="Y604" s="1042"/>
      <c r="Z604" s="1042"/>
      <c r="AA604" s="1042"/>
      <c r="AX604" s="1042"/>
    </row>
    <row r="605" spans="1:50">
      <c r="A605" s="1042"/>
      <c r="Y605" s="1042"/>
      <c r="Z605" s="1042"/>
      <c r="AA605" s="1042"/>
      <c r="AX605" s="1042"/>
    </row>
    <row r="606" spans="1:50">
      <c r="A606" s="1042"/>
      <c r="Y606" s="1042"/>
      <c r="Z606" s="1042"/>
      <c r="AA606" s="1042"/>
      <c r="AX606" s="1042"/>
    </row>
    <row r="607" spans="1:50">
      <c r="A607" s="1042"/>
      <c r="Y607" s="1042"/>
      <c r="Z607" s="1042"/>
      <c r="AA607" s="1042"/>
      <c r="AX607" s="1042"/>
    </row>
    <row r="608" spans="1:50">
      <c r="A608" s="1042"/>
      <c r="Y608" s="1042"/>
      <c r="Z608" s="1042"/>
      <c r="AA608" s="1042"/>
      <c r="AX608" s="1042"/>
    </row>
    <row r="609" spans="1:50">
      <c r="A609" s="1042"/>
      <c r="Y609" s="1042"/>
      <c r="Z609" s="1042"/>
      <c r="AA609" s="1042"/>
      <c r="AX609" s="1042"/>
    </row>
    <row r="610" spans="1:50">
      <c r="A610" s="1042"/>
      <c r="Y610" s="1042"/>
      <c r="Z610" s="1042"/>
      <c r="AA610" s="1042"/>
      <c r="AX610" s="1042"/>
    </row>
    <row r="611" spans="1:50">
      <c r="A611" s="1042"/>
      <c r="Y611" s="1042"/>
      <c r="Z611" s="1042"/>
      <c r="AA611" s="1042"/>
      <c r="AX611" s="1042"/>
    </row>
    <row r="612" spans="1:50">
      <c r="A612" s="1042"/>
      <c r="Y612" s="1042"/>
      <c r="Z612" s="1042"/>
      <c r="AA612" s="1042"/>
      <c r="AX612" s="1042"/>
    </row>
    <row r="613" spans="1:50">
      <c r="A613" s="1042"/>
      <c r="Y613" s="1042"/>
      <c r="Z613" s="1042"/>
      <c r="AA613" s="1042"/>
      <c r="AX613" s="1042"/>
    </row>
    <row r="614" spans="1:50">
      <c r="A614" s="1042"/>
      <c r="Y614" s="1042"/>
      <c r="Z614" s="1042"/>
      <c r="AA614" s="1042"/>
      <c r="AX614" s="1042"/>
    </row>
    <row r="615" spans="1:50">
      <c r="A615" s="1042"/>
      <c r="Y615" s="1042"/>
      <c r="Z615" s="1042"/>
      <c r="AA615" s="1042"/>
      <c r="AX615" s="1042"/>
    </row>
    <row r="616" spans="1:50">
      <c r="A616" s="1042"/>
      <c r="Y616" s="1042"/>
      <c r="Z616" s="1042"/>
      <c r="AA616" s="1042"/>
      <c r="AX616" s="1042"/>
    </row>
    <row r="617" spans="1:50">
      <c r="A617" s="1042"/>
      <c r="Y617" s="1042"/>
      <c r="Z617" s="1042"/>
      <c r="AA617" s="1042"/>
      <c r="AX617" s="1042"/>
    </row>
    <row r="618" spans="1:50">
      <c r="A618" s="1042"/>
      <c r="Y618" s="1042"/>
      <c r="Z618" s="1042"/>
      <c r="AA618" s="1042"/>
      <c r="AX618" s="1042"/>
    </row>
    <row r="619" spans="1:50">
      <c r="A619" s="1042"/>
      <c r="Y619" s="1042"/>
      <c r="Z619" s="1042"/>
      <c r="AA619" s="1042"/>
      <c r="AX619" s="1042"/>
    </row>
    <row r="620" spans="1:50">
      <c r="A620" s="1042"/>
      <c r="Y620" s="1042"/>
      <c r="Z620" s="1042"/>
      <c r="AA620" s="1042"/>
      <c r="AX620" s="1042"/>
    </row>
    <row r="621" spans="1:50">
      <c r="A621" s="1042"/>
      <c r="Y621" s="1042"/>
      <c r="Z621" s="1042"/>
      <c r="AA621" s="1042"/>
      <c r="AX621" s="1042"/>
    </row>
    <row r="622" spans="1:50">
      <c r="A622" s="1042"/>
      <c r="Y622" s="1042"/>
      <c r="Z622" s="1042"/>
      <c r="AA622" s="1042"/>
      <c r="AX622" s="1042"/>
    </row>
    <row r="623" spans="1:50">
      <c r="A623" s="1042"/>
      <c r="Y623" s="1042"/>
      <c r="Z623" s="1042"/>
      <c r="AA623" s="1042"/>
      <c r="AX623" s="1042"/>
    </row>
    <row r="624" spans="1:50">
      <c r="A624" s="1042"/>
      <c r="Y624" s="1042"/>
      <c r="Z624" s="1042"/>
      <c r="AA624" s="1042"/>
      <c r="AX624" s="1042"/>
    </row>
    <row r="625" spans="1:50">
      <c r="A625" s="1042"/>
      <c r="Y625" s="1042"/>
      <c r="Z625" s="1042"/>
      <c r="AA625" s="1042"/>
      <c r="AX625" s="1042"/>
    </row>
    <row r="626" spans="1:50">
      <c r="A626" s="1042"/>
      <c r="Y626" s="1042"/>
      <c r="Z626" s="1042"/>
      <c r="AA626" s="1042"/>
      <c r="AX626" s="1042"/>
    </row>
    <row r="627" spans="1:50">
      <c r="A627" s="1042"/>
      <c r="Y627" s="1042"/>
      <c r="Z627" s="1042"/>
      <c r="AA627" s="1042"/>
      <c r="AX627" s="1042"/>
    </row>
    <row r="628" spans="1:50">
      <c r="A628" s="1042"/>
      <c r="Y628" s="1042"/>
      <c r="Z628" s="1042"/>
      <c r="AA628" s="1042"/>
      <c r="AX628" s="1042"/>
    </row>
    <row r="629" spans="1:50">
      <c r="A629" s="1042"/>
      <c r="Y629" s="1042"/>
      <c r="Z629" s="1042"/>
      <c r="AA629" s="1042"/>
      <c r="AX629" s="1042"/>
    </row>
    <row r="630" spans="1:50">
      <c r="A630" s="1042"/>
      <c r="Y630" s="1042"/>
      <c r="Z630" s="1042"/>
      <c r="AA630" s="1042"/>
      <c r="AX630" s="1042"/>
    </row>
    <row r="631" spans="1:50">
      <c r="A631" s="1042"/>
      <c r="Y631" s="1042"/>
      <c r="Z631" s="1042"/>
      <c r="AA631" s="1042"/>
      <c r="AX631" s="1042"/>
    </row>
    <row r="632" spans="1:50">
      <c r="A632" s="1042"/>
      <c r="Y632" s="1042"/>
      <c r="Z632" s="1042"/>
      <c r="AA632" s="1042"/>
      <c r="AX632" s="1042"/>
    </row>
    <row r="633" spans="1:50">
      <c r="A633" s="1042"/>
      <c r="Y633" s="1042"/>
      <c r="Z633" s="1042"/>
      <c r="AA633" s="1042"/>
      <c r="AX633" s="1042"/>
    </row>
    <row r="634" spans="1:50">
      <c r="A634" s="1042"/>
      <c r="Y634" s="1042"/>
      <c r="Z634" s="1042"/>
      <c r="AA634" s="1042"/>
      <c r="AX634" s="1042"/>
    </row>
    <row r="635" spans="1:50">
      <c r="A635" s="1042"/>
      <c r="Y635" s="1042"/>
      <c r="Z635" s="1042"/>
      <c r="AA635" s="1042"/>
      <c r="AX635" s="1042"/>
    </row>
    <row r="636" spans="1:50">
      <c r="A636" s="1042"/>
      <c r="Y636" s="1042"/>
      <c r="Z636" s="1042"/>
      <c r="AA636" s="1042"/>
      <c r="AX636" s="1042"/>
    </row>
    <row r="637" spans="1:50">
      <c r="A637" s="1042"/>
      <c r="Y637" s="1042"/>
      <c r="Z637" s="1042"/>
      <c r="AA637" s="1042"/>
      <c r="AX637" s="1042"/>
    </row>
    <row r="638" spans="1:50">
      <c r="A638" s="1042"/>
      <c r="Y638" s="1042"/>
      <c r="Z638" s="1042"/>
      <c r="AA638" s="1042"/>
      <c r="AX638" s="1042"/>
    </row>
    <row r="639" spans="1:50">
      <c r="A639" s="1042"/>
      <c r="Y639" s="1042"/>
      <c r="Z639" s="1042"/>
      <c r="AA639" s="1042"/>
      <c r="AX639" s="1042"/>
    </row>
    <row r="640" spans="1:50">
      <c r="A640" s="1042"/>
      <c r="Y640" s="1042"/>
      <c r="Z640" s="1042"/>
      <c r="AA640" s="1042"/>
      <c r="AX640" s="1042"/>
    </row>
    <row r="641" spans="1:50">
      <c r="A641" s="1042"/>
      <c r="Y641" s="1042"/>
      <c r="Z641" s="1042"/>
      <c r="AA641" s="1042"/>
      <c r="AX641" s="1042"/>
    </row>
    <row r="642" spans="1:50">
      <c r="A642" s="1042"/>
      <c r="Y642" s="1042"/>
      <c r="Z642" s="1042"/>
      <c r="AA642" s="1042"/>
      <c r="AX642" s="1042"/>
    </row>
    <row r="643" spans="1:50">
      <c r="A643" s="1042"/>
      <c r="Y643" s="1042"/>
      <c r="Z643" s="1042"/>
      <c r="AA643" s="1042"/>
      <c r="AX643" s="1042"/>
    </row>
    <row r="644" spans="1:50">
      <c r="A644" s="1042"/>
      <c r="Y644" s="1042"/>
      <c r="Z644" s="1042"/>
      <c r="AA644" s="1042"/>
      <c r="AX644" s="1042"/>
    </row>
    <row r="645" spans="1:50">
      <c r="A645" s="1042"/>
      <c r="Y645" s="1042"/>
      <c r="Z645" s="1042"/>
      <c r="AA645" s="1042"/>
      <c r="AX645" s="1042"/>
    </row>
    <row r="646" spans="1:50">
      <c r="A646" s="1042"/>
      <c r="Y646" s="1042"/>
      <c r="Z646" s="1042"/>
      <c r="AA646" s="1042"/>
      <c r="AX646" s="1042"/>
    </row>
    <row r="647" spans="1:50">
      <c r="A647" s="1042"/>
      <c r="Y647" s="1042"/>
      <c r="Z647" s="1042"/>
      <c r="AA647" s="1042"/>
      <c r="AX647" s="1042"/>
    </row>
    <row r="648" spans="1:50">
      <c r="A648" s="1042"/>
      <c r="Y648" s="1042"/>
      <c r="Z648" s="1042"/>
      <c r="AA648" s="1042"/>
      <c r="AX648" s="1042"/>
    </row>
    <row r="649" spans="1:50">
      <c r="A649" s="1042"/>
      <c r="Y649" s="1042"/>
      <c r="Z649" s="1042"/>
      <c r="AA649" s="1042"/>
      <c r="AX649" s="1042"/>
    </row>
    <row r="650" spans="1:50">
      <c r="A650" s="1042"/>
      <c r="Y650" s="1042"/>
      <c r="Z650" s="1042"/>
      <c r="AA650" s="1042"/>
      <c r="AX650" s="1042"/>
    </row>
    <row r="651" spans="1:50">
      <c r="A651" s="1042"/>
      <c r="Y651" s="1042"/>
      <c r="Z651" s="1042"/>
      <c r="AA651" s="1042"/>
      <c r="AX651" s="1042"/>
    </row>
    <row r="652" spans="1:50">
      <c r="A652" s="1042"/>
      <c r="Y652" s="1042"/>
      <c r="Z652" s="1042"/>
      <c r="AA652" s="1042"/>
      <c r="AX652" s="1042"/>
    </row>
    <row r="653" spans="1:50">
      <c r="A653" s="1042"/>
      <c r="Y653" s="1042"/>
      <c r="Z653" s="1042"/>
      <c r="AA653" s="1042"/>
      <c r="AX653" s="1042"/>
    </row>
    <row r="654" spans="1:50">
      <c r="A654" s="1042"/>
      <c r="Y654" s="1042"/>
      <c r="Z654" s="1042"/>
      <c r="AA654" s="1042"/>
      <c r="AX654" s="1042"/>
    </row>
    <row r="655" spans="1:50">
      <c r="A655" s="1042"/>
      <c r="Y655" s="1042"/>
      <c r="Z655" s="1042"/>
      <c r="AA655" s="1042"/>
      <c r="AX655" s="1042"/>
    </row>
    <row r="656" spans="1:50">
      <c r="A656" s="1042"/>
      <c r="Y656" s="1042"/>
      <c r="Z656" s="1042"/>
      <c r="AA656" s="1042"/>
      <c r="AX656" s="1042"/>
    </row>
    <row r="657" spans="1:50">
      <c r="A657" s="1042"/>
      <c r="Y657" s="1042"/>
      <c r="Z657" s="1042"/>
      <c r="AA657" s="1042"/>
      <c r="AX657" s="1042"/>
    </row>
    <row r="658" spans="1:50">
      <c r="A658" s="1042"/>
      <c r="Y658" s="1042"/>
      <c r="Z658" s="1042"/>
      <c r="AA658" s="1042"/>
      <c r="AX658" s="1042"/>
    </row>
    <row r="659" spans="1:50">
      <c r="A659" s="1042"/>
      <c r="Y659" s="1042"/>
      <c r="Z659" s="1042"/>
      <c r="AA659" s="1042"/>
      <c r="AX659" s="1042"/>
    </row>
    <row r="660" spans="1:50">
      <c r="A660" s="1042"/>
      <c r="Y660" s="1042"/>
      <c r="Z660" s="1042"/>
      <c r="AA660" s="1042"/>
      <c r="AX660" s="1042"/>
    </row>
    <row r="661" spans="1:50">
      <c r="A661" s="1042"/>
      <c r="Y661" s="1042"/>
      <c r="Z661" s="1042"/>
      <c r="AA661" s="1042"/>
      <c r="AX661" s="1042"/>
    </row>
    <row r="662" spans="1:50">
      <c r="A662" s="1042"/>
      <c r="Y662" s="1042"/>
      <c r="Z662" s="1042"/>
      <c r="AA662" s="1042"/>
      <c r="AX662" s="1042"/>
    </row>
    <row r="663" spans="1:50">
      <c r="A663" s="1042"/>
      <c r="Y663" s="1042"/>
      <c r="Z663" s="1042"/>
      <c r="AA663" s="1042"/>
      <c r="AX663" s="1042"/>
    </row>
    <row r="664" spans="1:50">
      <c r="A664" s="1042"/>
      <c r="Y664" s="1042"/>
      <c r="Z664" s="1042"/>
      <c r="AA664" s="1042"/>
      <c r="AX664" s="1042"/>
    </row>
    <row r="665" spans="1:50">
      <c r="A665" s="1042"/>
      <c r="Y665" s="1042"/>
      <c r="Z665" s="1042"/>
      <c r="AA665" s="1042"/>
      <c r="AX665" s="1042"/>
    </row>
    <row r="666" spans="1:50">
      <c r="A666" s="1042"/>
      <c r="Y666" s="1042"/>
      <c r="Z666" s="1042"/>
      <c r="AA666" s="1042"/>
      <c r="AX666" s="1042"/>
    </row>
    <row r="667" spans="1:50">
      <c r="A667" s="1042"/>
      <c r="Y667" s="1042"/>
      <c r="Z667" s="1042"/>
      <c r="AA667" s="1042"/>
      <c r="AX667" s="1042"/>
    </row>
    <row r="668" spans="1:50">
      <c r="A668" s="1042"/>
      <c r="Y668" s="1042"/>
      <c r="Z668" s="1042"/>
      <c r="AA668" s="1042"/>
      <c r="AX668" s="1042"/>
    </row>
    <row r="669" spans="1:50">
      <c r="A669" s="1042"/>
      <c r="Y669" s="1042"/>
      <c r="Z669" s="1042"/>
      <c r="AA669" s="1042"/>
      <c r="AX669" s="1042"/>
    </row>
    <row r="670" spans="1:50">
      <c r="A670" s="1042"/>
      <c r="Y670" s="1042"/>
      <c r="Z670" s="1042"/>
      <c r="AA670" s="1042"/>
      <c r="AX670" s="1042"/>
    </row>
    <row r="671" spans="1:50">
      <c r="A671" s="1042"/>
      <c r="Y671" s="1042"/>
      <c r="Z671" s="1042"/>
      <c r="AA671" s="1042"/>
      <c r="AX671" s="1042"/>
    </row>
    <row r="672" spans="1:50">
      <c r="A672" s="1042"/>
      <c r="Y672" s="1042"/>
      <c r="Z672" s="1042"/>
      <c r="AA672" s="1042"/>
      <c r="AX672" s="1042"/>
    </row>
    <row r="673" spans="1:50">
      <c r="A673" s="1042"/>
      <c r="Y673" s="1042"/>
      <c r="Z673" s="1042"/>
      <c r="AA673" s="1042"/>
      <c r="AX673" s="1042"/>
    </row>
    <row r="674" spans="1:50">
      <c r="A674" s="1042"/>
      <c r="Y674" s="1042"/>
      <c r="Z674" s="1042"/>
      <c r="AA674" s="1042"/>
      <c r="AX674" s="1042"/>
    </row>
    <row r="675" spans="1:50">
      <c r="A675" s="1042"/>
      <c r="Y675" s="1042"/>
      <c r="Z675" s="1042"/>
      <c r="AA675" s="1042"/>
      <c r="AX675" s="1042"/>
    </row>
    <row r="676" spans="1:50">
      <c r="A676" s="1042"/>
      <c r="Y676" s="1042"/>
      <c r="Z676" s="1042"/>
      <c r="AA676" s="1042"/>
      <c r="AX676" s="1042"/>
    </row>
    <row r="677" spans="1:50">
      <c r="A677" s="1042"/>
      <c r="Y677" s="1042"/>
      <c r="Z677" s="1042"/>
      <c r="AA677" s="1042"/>
      <c r="AX677" s="1042"/>
    </row>
    <row r="678" spans="1:50">
      <c r="A678" s="1042"/>
      <c r="Y678" s="1042"/>
      <c r="Z678" s="1042"/>
      <c r="AA678" s="1042"/>
      <c r="AX678" s="1042"/>
    </row>
    <row r="679" spans="1:50">
      <c r="A679" s="1042"/>
      <c r="Y679" s="1042"/>
      <c r="Z679" s="1042"/>
      <c r="AA679" s="1042"/>
      <c r="AX679" s="1042"/>
    </row>
    <row r="680" spans="1:50">
      <c r="A680" s="1042"/>
      <c r="Y680" s="1042"/>
      <c r="Z680" s="1042"/>
      <c r="AA680" s="1042"/>
      <c r="AX680" s="1042"/>
    </row>
    <row r="681" spans="1:50">
      <c r="A681" s="1042"/>
      <c r="Y681" s="1042"/>
      <c r="Z681" s="1042"/>
      <c r="AA681" s="1042"/>
      <c r="AX681" s="1042"/>
    </row>
    <row r="682" spans="1:50">
      <c r="A682" s="1042"/>
      <c r="Y682" s="1042"/>
      <c r="Z682" s="1042"/>
      <c r="AA682" s="1042"/>
      <c r="AX682" s="1042"/>
    </row>
    <row r="683" spans="1:50">
      <c r="A683" s="1042"/>
      <c r="Y683" s="1042"/>
      <c r="Z683" s="1042"/>
      <c r="AA683" s="1042"/>
      <c r="AX683" s="1042"/>
    </row>
    <row r="684" spans="1:50">
      <c r="A684" s="1042"/>
      <c r="Y684" s="1042"/>
      <c r="Z684" s="1042"/>
      <c r="AA684" s="1042"/>
      <c r="AX684" s="1042"/>
    </row>
    <row r="685" spans="1:50">
      <c r="A685" s="1042"/>
      <c r="Y685" s="1042"/>
      <c r="Z685" s="1042"/>
      <c r="AA685" s="1042"/>
      <c r="AX685" s="1042"/>
    </row>
    <row r="686" spans="1:50">
      <c r="A686" s="1042"/>
      <c r="Y686" s="1042"/>
      <c r="Z686" s="1042"/>
      <c r="AA686" s="1042"/>
      <c r="AX686" s="1042"/>
    </row>
    <row r="687" spans="1:50">
      <c r="A687" s="1042"/>
      <c r="Y687" s="1042"/>
      <c r="Z687" s="1042"/>
      <c r="AA687" s="1042"/>
      <c r="AX687" s="1042"/>
    </row>
    <row r="688" spans="1:50">
      <c r="A688" s="1042"/>
      <c r="Y688" s="1042"/>
      <c r="Z688" s="1042"/>
      <c r="AA688" s="1042"/>
      <c r="AX688" s="1042"/>
    </row>
    <row r="689" spans="1:50">
      <c r="A689" s="1042"/>
      <c r="Y689" s="1042"/>
      <c r="Z689" s="1042"/>
      <c r="AA689" s="1042"/>
      <c r="AX689" s="1042"/>
    </row>
    <row r="690" spans="1:50">
      <c r="A690" s="1042"/>
      <c r="Y690" s="1042"/>
      <c r="Z690" s="1042"/>
      <c r="AA690" s="1042"/>
      <c r="AX690" s="1042"/>
    </row>
    <row r="691" spans="1:50">
      <c r="A691" s="1042"/>
      <c r="Y691" s="1042"/>
      <c r="Z691" s="1042"/>
      <c r="AA691" s="1042"/>
      <c r="AX691" s="1042"/>
    </row>
    <row r="692" spans="1:50">
      <c r="A692" s="1042"/>
      <c r="Y692" s="1042"/>
      <c r="Z692" s="1042"/>
      <c r="AA692" s="1042"/>
      <c r="AX692" s="1042"/>
    </row>
    <row r="693" spans="1:50">
      <c r="A693" s="1042"/>
      <c r="Y693" s="1042"/>
      <c r="Z693" s="1042"/>
      <c r="AA693" s="1042"/>
      <c r="AX693" s="1042"/>
    </row>
    <row r="694" spans="1:50">
      <c r="A694" s="1042"/>
      <c r="Y694" s="1042"/>
      <c r="Z694" s="1042"/>
      <c r="AA694" s="1042"/>
      <c r="AX694" s="1042"/>
    </row>
    <row r="695" spans="1:50">
      <c r="A695" s="1042"/>
      <c r="Y695" s="1042"/>
      <c r="Z695" s="1042"/>
      <c r="AA695" s="1042"/>
      <c r="AX695" s="1042"/>
    </row>
    <row r="696" spans="1:50">
      <c r="A696" s="1042"/>
      <c r="Y696" s="1042"/>
      <c r="Z696" s="1042"/>
      <c r="AA696" s="1042"/>
      <c r="AX696" s="1042"/>
    </row>
    <row r="697" spans="1:50">
      <c r="A697" s="1042"/>
      <c r="Y697" s="1042"/>
      <c r="Z697" s="1042"/>
      <c r="AA697" s="1042"/>
      <c r="AX697" s="1042"/>
    </row>
    <row r="698" spans="1:50">
      <c r="A698" s="1042"/>
      <c r="Y698" s="1042"/>
      <c r="Z698" s="1042"/>
      <c r="AA698" s="1042"/>
      <c r="AX698" s="1042"/>
    </row>
    <row r="699" spans="1:50">
      <c r="A699" s="1042"/>
      <c r="Y699" s="1042"/>
      <c r="Z699" s="1042"/>
      <c r="AA699" s="1042"/>
      <c r="AX699" s="1042"/>
    </row>
    <row r="700" spans="1:50">
      <c r="A700" s="1042"/>
      <c r="Y700" s="1042"/>
      <c r="Z700" s="1042"/>
      <c r="AA700" s="1042"/>
      <c r="AX700" s="1042"/>
    </row>
    <row r="701" spans="1:50">
      <c r="A701" s="1042"/>
      <c r="Y701" s="1042"/>
      <c r="Z701" s="1042"/>
      <c r="AA701" s="1042"/>
      <c r="AX701" s="1042"/>
    </row>
    <row r="702" spans="1:50">
      <c r="A702" s="1042"/>
      <c r="Y702" s="1042"/>
      <c r="Z702" s="1042"/>
      <c r="AA702" s="1042"/>
      <c r="AX702" s="1042"/>
    </row>
    <row r="703" spans="1:50">
      <c r="A703" s="1042"/>
      <c r="Y703" s="1042"/>
      <c r="Z703" s="1042"/>
      <c r="AA703" s="1042"/>
      <c r="AX703" s="1042"/>
    </row>
    <row r="704" spans="1:50">
      <c r="A704" s="1042"/>
      <c r="Y704" s="1042"/>
      <c r="Z704" s="1042"/>
      <c r="AA704" s="1042"/>
      <c r="AX704" s="1042"/>
    </row>
    <row r="705" spans="1:50">
      <c r="A705" s="1042"/>
      <c r="Y705" s="1042"/>
      <c r="Z705" s="1042"/>
      <c r="AA705" s="1042"/>
      <c r="AX705" s="1042"/>
    </row>
    <row r="706" spans="1:50">
      <c r="A706" s="1042"/>
      <c r="Y706" s="1042"/>
      <c r="Z706" s="1042"/>
      <c r="AA706" s="1042"/>
      <c r="AX706" s="1042"/>
    </row>
    <row r="707" spans="1:50">
      <c r="A707" s="1042"/>
      <c r="Y707" s="1042"/>
      <c r="Z707" s="1042"/>
      <c r="AA707" s="1042"/>
      <c r="AX707" s="1042"/>
    </row>
    <row r="708" spans="1:50">
      <c r="A708" s="1042"/>
      <c r="Y708" s="1042"/>
      <c r="Z708" s="1042"/>
      <c r="AA708" s="1042"/>
      <c r="AX708" s="1042"/>
    </row>
    <row r="709" spans="1:50">
      <c r="A709" s="1042"/>
      <c r="Y709" s="1042"/>
      <c r="Z709" s="1042"/>
      <c r="AA709" s="1042"/>
      <c r="AX709" s="1042"/>
    </row>
    <row r="710" spans="1:50">
      <c r="A710" s="1042"/>
      <c r="Y710" s="1042"/>
      <c r="Z710" s="1042"/>
      <c r="AA710" s="1042"/>
      <c r="AX710" s="1042"/>
    </row>
    <row r="711" spans="1:50">
      <c r="A711" s="1042"/>
      <c r="Y711" s="1042"/>
      <c r="Z711" s="1042"/>
      <c r="AA711" s="1042"/>
      <c r="AX711" s="1042"/>
    </row>
    <row r="712" spans="1:50">
      <c r="A712" s="1042"/>
      <c r="Y712" s="1042"/>
      <c r="Z712" s="1042"/>
      <c r="AA712" s="1042"/>
      <c r="AX712" s="1042"/>
    </row>
    <row r="713" spans="1:50">
      <c r="A713" s="1042"/>
      <c r="Y713" s="1042"/>
      <c r="Z713" s="1042"/>
      <c r="AA713" s="1042"/>
      <c r="AX713" s="1042"/>
    </row>
    <row r="714" spans="1:50">
      <c r="A714" s="1042"/>
      <c r="Y714" s="1042"/>
      <c r="Z714" s="1042"/>
      <c r="AA714" s="1042"/>
      <c r="AX714" s="1042"/>
    </row>
    <row r="715" spans="1:50">
      <c r="A715" s="1042"/>
      <c r="Y715" s="1042"/>
      <c r="Z715" s="1042"/>
      <c r="AA715" s="1042"/>
      <c r="AX715" s="1042"/>
    </row>
    <row r="716" spans="1:50">
      <c r="A716" s="1042"/>
      <c r="Y716" s="1042"/>
      <c r="Z716" s="1042"/>
      <c r="AA716" s="1042"/>
      <c r="AX716" s="1042"/>
    </row>
    <row r="717" spans="1:50">
      <c r="A717" s="1042"/>
      <c r="Y717" s="1042"/>
      <c r="Z717" s="1042"/>
      <c r="AA717" s="1042"/>
      <c r="AX717" s="1042"/>
    </row>
    <row r="718" spans="1:50">
      <c r="A718" s="1042"/>
      <c r="Y718" s="1042"/>
      <c r="Z718" s="1042"/>
      <c r="AA718" s="1042"/>
      <c r="AX718" s="1042"/>
    </row>
    <row r="719" spans="1:50">
      <c r="A719" s="1042"/>
      <c r="Y719" s="1042"/>
      <c r="Z719" s="1042"/>
      <c r="AA719" s="1042"/>
      <c r="AX719" s="1042"/>
    </row>
    <row r="720" spans="1:50">
      <c r="A720" s="1042"/>
      <c r="Y720" s="1042"/>
      <c r="Z720" s="1042"/>
      <c r="AA720" s="1042"/>
      <c r="AX720" s="1042"/>
    </row>
    <row r="721" spans="1:50">
      <c r="A721" s="1042"/>
      <c r="Y721" s="1042"/>
      <c r="Z721" s="1042"/>
      <c r="AA721" s="1042"/>
      <c r="AX721" s="1042"/>
    </row>
    <row r="722" spans="1:50">
      <c r="A722" s="1042"/>
      <c r="Y722" s="1042"/>
      <c r="Z722" s="1042"/>
      <c r="AA722" s="1042"/>
      <c r="AX722" s="1042"/>
    </row>
    <row r="723" spans="1:50">
      <c r="A723" s="1042"/>
      <c r="Y723" s="1042"/>
      <c r="Z723" s="1042"/>
      <c r="AA723" s="1042"/>
      <c r="AX723" s="1042"/>
    </row>
    <row r="724" spans="1:50">
      <c r="A724" s="1042"/>
      <c r="Y724" s="1042"/>
      <c r="Z724" s="1042"/>
      <c r="AA724" s="1042"/>
      <c r="AX724" s="1042"/>
    </row>
    <row r="725" spans="1:50">
      <c r="A725" s="1042"/>
      <c r="Y725" s="1042"/>
      <c r="Z725" s="1042"/>
      <c r="AA725" s="1042"/>
      <c r="AX725" s="1042"/>
    </row>
    <row r="726" spans="1:50">
      <c r="A726" s="1042"/>
      <c r="Y726" s="1042"/>
      <c r="Z726" s="1042"/>
      <c r="AA726" s="1042"/>
      <c r="AX726" s="1042"/>
    </row>
    <row r="727" spans="1:50">
      <c r="A727" s="1042"/>
      <c r="Y727" s="1042"/>
      <c r="Z727" s="1042"/>
      <c r="AA727" s="1042"/>
      <c r="AX727" s="1042"/>
    </row>
    <row r="728" spans="1:50">
      <c r="A728" s="1042"/>
      <c r="Y728" s="1042"/>
      <c r="Z728" s="1042"/>
      <c r="AA728" s="1042"/>
      <c r="AX728" s="1042"/>
    </row>
    <row r="729" spans="1:50">
      <c r="A729" s="1042"/>
      <c r="Y729" s="1042"/>
      <c r="Z729" s="1042"/>
      <c r="AA729" s="1042"/>
      <c r="AX729" s="1042"/>
    </row>
    <row r="730" spans="1:50">
      <c r="A730" s="1042"/>
      <c r="Y730" s="1042"/>
      <c r="Z730" s="1042"/>
      <c r="AA730" s="1042"/>
      <c r="AX730" s="1042"/>
    </row>
    <row r="731" spans="1:50">
      <c r="A731" s="1042"/>
      <c r="Y731" s="1042"/>
      <c r="Z731" s="1042"/>
      <c r="AA731" s="1042"/>
      <c r="AX731" s="1042"/>
    </row>
    <row r="732" spans="1:50">
      <c r="A732" s="1042"/>
      <c r="Y732" s="1042"/>
      <c r="Z732" s="1042"/>
      <c r="AA732" s="1042"/>
      <c r="AX732" s="1042"/>
    </row>
    <row r="733" spans="1:50">
      <c r="A733" s="1042"/>
      <c r="Y733" s="1042"/>
      <c r="Z733" s="1042"/>
      <c r="AA733" s="1042"/>
      <c r="AX733" s="1042"/>
    </row>
    <row r="734" spans="1:50">
      <c r="A734" s="1042"/>
      <c r="Y734" s="1042"/>
      <c r="Z734" s="1042"/>
      <c r="AA734" s="1042"/>
      <c r="AX734" s="1042"/>
    </row>
    <row r="735" spans="1:50">
      <c r="A735" s="1042"/>
      <c r="Y735" s="1042"/>
      <c r="Z735" s="1042"/>
      <c r="AA735" s="1042"/>
      <c r="AX735" s="1042"/>
    </row>
    <row r="736" spans="1:50">
      <c r="A736" s="1042"/>
      <c r="Y736" s="1042"/>
      <c r="Z736" s="1042"/>
      <c r="AA736" s="1042"/>
      <c r="AX736" s="1042"/>
    </row>
    <row r="737" spans="1:50">
      <c r="A737" s="1042"/>
      <c r="Y737" s="1042"/>
      <c r="Z737" s="1042"/>
      <c r="AA737" s="1042"/>
      <c r="AX737" s="1042"/>
    </row>
    <row r="738" spans="1:50">
      <c r="A738" s="1042"/>
      <c r="Y738" s="1042"/>
      <c r="Z738" s="1042"/>
      <c r="AA738" s="1042"/>
      <c r="AX738" s="1042"/>
    </row>
    <row r="739" spans="1:50">
      <c r="A739" s="1042"/>
      <c r="Y739" s="1042"/>
      <c r="Z739" s="1042"/>
      <c r="AA739" s="1042"/>
      <c r="AX739" s="1042"/>
    </row>
    <row r="740" spans="1:50">
      <c r="A740" s="1042"/>
      <c r="Y740" s="1042"/>
      <c r="Z740" s="1042"/>
      <c r="AA740" s="1042"/>
      <c r="AX740" s="1042"/>
    </row>
    <row r="741" spans="1:50">
      <c r="A741" s="1042"/>
      <c r="Y741" s="1042"/>
      <c r="Z741" s="1042"/>
      <c r="AA741" s="1042"/>
      <c r="AX741" s="1042"/>
    </row>
    <row r="742" spans="1:50">
      <c r="A742" s="1042"/>
      <c r="Y742" s="1042"/>
      <c r="Z742" s="1042"/>
      <c r="AA742" s="1042"/>
      <c r="AX742" s="1042"/>
    </row>
    <row r="743" spans="1:50">
      <c r="A743" s="1042"/>
      <c r="Y743" s="1042"/>
      <c r="Z743" s="1042"/>
      <c r="AA743" s="1042"/>
      <c r="AX743" s="1042"/>
    </row>
    <row r="744" spans="1:50">
      <c r="A744" s="1042"/>
      <c r="Y744" s="1042"/>
      <c r="Z744" s="1042"/>
      <c r="AA744" s="1042"/>
      <c r="AX744" s="1042"/>
    </row>
    <row r="745" spans="1:50">
      <c r="A745" s="1042"/>
      <c r="Y745" s="1042"/>
      <c r="Z745" s="1042"/>
      <c r="AA745" s="1042"/>
      <c r="AX745" s="1042"/>
    </row>
    <row r="746" spans="1:50">
      <c r="A746" s="1042"/>
      <c r="Y746" s="1042"/>
      <c r="Z746" s="1042"/>
      <c r="AA746" s="1042"/>
      <c r="AX746" s="1042"/>
    </row>
    <row r="747" spans="1:50">
      <c r="A747" s="1042"/>
      <c r="Y747" s="1042"/>
      <c r="Z747" s="1042"/>
      <c r="AA747" s="1042"/>
      <c r="AX747" s="1042"/>
    </row>
    <row r="748" spans="1:50">
      <c r="A748" s="1042"/>
      <c r="Y748" s="1042"/>
      <c r="Z748" s="1042"/>
      <c r="AA748" s="1042"/>
      <c r="AX748" s="1042"/>
    </row>
    <row r="749" spans="1:50">
      <c r="A749" s="1042"/>
      <c r="Y749" s="1042"/>
      <c r="Z749" s="1042"/>
      <c r="AA749" s="1042"/>
      <c r="AX749" s="1042"/>
    </row>
    <row r="750" spans="1:50">
      <c r="A750" s="1042"/>
      <c r="Y750" s="1042"/>
      <c r="Z750" s="1042"/>
      <c r="AA750" s="1042"/>
      <c r="AX750" s="1042"/>
    </row>
    <row r="751" spans="1:50">
      <c r="A751" s="1042"/>
      <c r="Y751" s="1042"/>
      <c r="Z751" s="1042"/>
      <c r="AA751" s="1042"/>
      <c r="AX751" s="1042"/>
    </row>
    <row r="752" spans="1:50">
      <c r="A752" s="1042"/>
      <c r="Y752" s="1042"/>
      <c r="Z752" s="1042"/>
      <c r="AA752" s="1042"/>
      <c r="AX752" s="1042"/>
    </row>
    <row r="753" spans="1:50">
      <c r="A753" s="1042"/>
      <c r="Y753" s="1042"/>
      <c r="Z753" s="1042"/>
      <c r="AA753" s="1042"/>
      <c r="AX753" s="1042"/>
    </row>
    <row r="754" spans="1:50">
      <c r="A754" s="1042"/>
      <c r="Y754" s="1042"/>
      <c r="Z754" s="1042"/>
      <c r="AA754" s="1042"/>
      <c r="AX754" s="1042"/>
    </row>
    <row r="755" spans="1:50">
      <c r="A755" s="1042"/>
      <c r="Y755" s="1042"/>
      <c r="Z755" s="1042"/>
      <c r="AA755" s="1042"/>
      <c r="AX755" s="1042"/>
    </row>
    <row r="756" spans="1:50">
      <c r="A756" s="1042"/>
      <c r="Y756" s="1042"/>
      <c r="Z756" s="1042"/>
      <c r="AA756" s="1042"/>
      <c r="AX756" s="1042"/>
    </row>
    <row r="757" spans="1:50">
      <c r="A757" s="1042"/>
      <c r="Y757" s="1042"/>
      <c r="Z757" s="1042"/>
      <c r="AA757" s="1042"/>
      <c r="AX757" s="1042"/>
    </row>
    <row r="758" spans="1:50">
      <c r="A758" s="1042"/>
      <c r="Y758" s="1042"/>
      <c r="Z758" s="1042"/>
      <c r="AA758" s="1042"/>
      <c r="AX758" s="1042"/>
    </row>
    <row r="759" spans="1:50">
      <c r="A759" s="1042"/>
      <c r="Y759" s="1042"/>
      <c r="Z759" s="1042"/>
      <c r="AA759" s="1042"/>
      <c r="AX759" s="1042"/>
    </row>
    <row r="760" spans="1:50">
      <c r="A760" s="1042"/>
      <c r="Y760" s="1042"/>
      <c r="Z760" s="1042"/>
      <c r="AA760" s="1042"/>
      <c r="AX760" s="1042"/>
    </row>
    <row r="761" spans="1:50">
      <c r="A761" s="1042"/>
      <c r="Y761" s="1042"/>
      <c r="Z761" s="1042"/>
      <c r="AA761" s="1042"/>
      <c r="AX761" s="1042"/>
    </row>
    <row r="762" spans="1:50">
      <c r="A762" s="1042"/>
      <c r="Y762" s="1042"/>
      <c r="Z762" s="1042"/>
      <c r="AA762" s="1042"/>
      <c r="AX762" s="1042"/>
    </row>
    <row r="763" spans="1:50">
      <c r="A763" s="1042"/>
      <c r="Y763" s="1042"/>
      <c r="Z763" s="1042"/>
      <c r="AA763" s="1042"/>
      <c r="AX763" s="1042"/>
    </row>
    <row r="764" spans="1:50">
      <c r="A764" s="1042"/>
      <c r="Y764" s="1042"/>
      <c r="Z764" s="1042"/>
      <c r="AA764" s="1042"/>
      <c r="AX764" s="1042"/>
    </row>
    <row r="765" spans="1:50">
      <c r="A765" s="1042"/>
      <c r="Y765" s="1042"/>
      <c r="Z765" s="1042"/>
      <c r="AA765" s="1042"/>
      <c r="AX765" s="1042"/>
    </row>
    <row r="766" spans="1:50">
      <c r="A766" s="1042"/>
      <c r="Y766" s="1042"/>
      <c r="Z766" s="1042"/>
      <c r="AA766" s="1042"/>
      <c r="AX766" s="1042"/>
    </row>
    <row r="767" spans="1:50">
      <c r="A767" s="1042"/>
      <c r="Y767" s="1042"/>
      <c r="Z767" s="1042"/>
      <c r="AA767" s="1042"/>
      <c r="AX767" s="1042"/>
    </row>
    <row r="768" spans="1:50">
      <c r="A768" s="1042"/>
      <c r="Y768" s="1042"/>
      <c r="Z768" s="1042"/>
      <c r="AA768" s="1042"/>
      <c r="AX768" s="1042"/>
    </row>
    <row r="769" spans="1:50">
      <c r="A769" s="1042"/>
      <c r="Y769" s="1042"/>
      <c r="Z769" s="1042"/>
      <c r="AA769" s="1042"/>
      <c r="AX769" s="1042"/>
    </row>
    <row r="770" spans="1:50">
      <c r="A770" s="1042"/>
      <c r="Y770" s="1042"/>
      <c r="Z770" s="1042"/>
      <c r="AA770" s="1042"/>
      <c r="AX770" s="1042"/>
    </row>
    <row r="771" spans="1:50">
      <c r="A771" s="1042"/>
      <c r="Y771" s="1042"/>
      <c r="Z771" s="1042"/>
      <c r="AA771" s="1042"/>
      <c r="AX771" s="1042"/>
    </row>
    <row r="772" spans="1:50">
      <c r="A772" s="1042"/>
      <c r="Y772" s="1042"/>
      <c r="Z772" s="1042"/>
      <c r="AA772" s="1042"/>
      <c r="AX772" s="1042"/>
    </row>
    <row r="773" spans="1:50">
      <c r="A773" s="1042"/>
      <c r="Y773" s="1042"/>
      <c r="Z773" s="1042"/>
      <c r="AA773" s="1042"/>
      <c r="AX773" s="1042"/>
    </row>
    <row r="774" spans="1:50">
      <c r="A774" s="1042"/>
      <c r="Y774" s="1042"/>
      <c r="Z774" s="1042"/>
      <c r="AA774" s="1042"/>
      <c r="AX774" s="1042"/>
    </row>
    <row r="775" spans="1:50">
      <c r="A775" s="1042"/>
      <c r="Y775" s="1042"/>
      <c r="Z775" s="1042"/>
      <c r="AA775" s="1042"/>
      <c r="AX775" s="1042"/>
    </row>
    <row r="776" spans="1:50">
      <c r="A776" s="1042"/>
      <c r="Y776" s="1042"/>
      <c r="Z776" s="1042"/>
      <c r="AA776" s="1042"/>
      <c r="AX776" s="1042"/>
    </row>
    <row r="777" spans="1:50">
      <c r="A777" s="1042"/>
      <c r="Y777" s="1042"/>
      <c r="Z777" s="1042"/>
      <c r="AA777" s="1042"/>
      <c r="AX777" s="1042"/>
    </row>
    <row r="778" spans="1:50">
      <c r="A778" s="1042"/>
      <c r="Y778" s="1042"/>
      <c r="Z778" s="1042"/>
      <c r="AA778" s="1042"/>
      <c r="AX778" s="1042"/>
    </row>
    <row r="779" spans="1:50">
      <c r="A779" s="1042"/>
      <c r="Y779" s="1042"/>
      <c r="Z779" s="1042"/>
      <c r="AA779" s="1042"/>
      <c r="AX779" s="1042"/>
    </row>
    <row r="780" spans="1:50">
      <c r="A780" s="1042"/>
      <c r="Y780" s="1042"/>
      <c r="Z780" s="1042"/>
      <c r="AA780" s="1042"/>
      <c r="AX780" s="1042"/>
    </row>
    <row r="781" spans="1:50">
      <c r="A781" s="1042"/>
      <c r="Y781" s="1042"/>
      <c r="Z781" s="1042"/>
      <c r="AA781" s="1042"/>
      <c r="AX781" s="1042"/>
    </row>
    <row r="782" spans="1:50">
      <c r="A782" s="1042"/>
      <c r="Y782" s="1042"/>
      <c r="Z782" s="1042"/>
      <c r="AA782" s="1042"/>
      <c r="AX782" s="1042"/>
    </row>
    <row r="783" spans="1:50">
      <c r="A783" s="1042"/>
      <c r="Y783" s="1042"/>
      <c r="Z783" s="1042"/>
      <c r="AA783" s="1042"/>
      <c r="AX783" s="1042"/>
    </row>
    <row r="784" spans="1:50">
      <c r="A784" s="1042"/>
      <c r="Y784" s="1042"/>
      <c r="Z784" s="1042"/>
      <c r="AA784" s="1042"/>
      <c r="AX784" s="1042"/>
    </row>
    <row r="785" spans="1:50">
      <c r="A785" s="1042"/>
      <c r="Y785" s="1042"/>
      <c r="Z785" s="1042"/>
      <c r="AA785" s="1042"/>
      <c r="AX785" s="1042"/>
    </row>
    <row r="786" spans="1:50">
      <c r="A786" s="1042"/>
      <c r="Y786" s="1042"/>
      <c r="Z786" s="1042"/>
      <c r="AA786" s="1042"/>
      <c r="AX786" s="1042"/>
    </row>
    <row r="787" spans="1:50">
      <c r="A787" s="1042"/>
      <c r="Y787" s="1042"/>
      <c r="Z787" s="1042"/>
      <c r="AA787" s="1042"/>
      <c r="AX787" s="1042"/>
    </row>
    <row r="788" spans="1:50">
      <c r="A788" s="1042"/>
      <c r="Y788" s="1042"/>
      <c r="Z788" s="1042"/>
      <c r="AA788" s="1042"/>
      <c r="AX788" s="1042"/>
    </row>
    <row r="789" spans="1:50">
      <c r="A789" s="1042"/>
      <c r="Y789" s="1042"/>
      <c r="Z789" s="1042"/>
      <c r="AA789" s="1042"/>
      <c r="AX789" s="1042"/>
    </row>
    <row r="790" spans="1:50">
      <c r="A790" s="1042"/>
      <c r="Y790" s="1042"/>
      <c r="Z790" s="1042"/>
      <c r="AA790" s="1042"/>
      <c r="AX790" s="1042"/>
    </row>
    <row r="791" spans="1:50">
      <c r="A791" s="1042"/>
      <c r="Y791" s="1042"/>
      <c r="Z791" s="1042"/>
      <c r="AA791" s="1042"/>
      <c r="AX791" s="1042"/>
    </row>
    <row r="792" spans="1:50">
      <c r="A792" s="1042"/>
      <c r="Y792" s="1042"/>
      <c r="Z792" s="1042"/>
      <c r="AA792" s="1042"/>
      <c r="AX792" s="1042"/>
    </row>
    <row r="793" spans="1:50">
      <c r="A793" s="1042"/>
      <c r="Y793" s="1042"/>
      <c r="Z793" s="1042"/>
      <c r="AA793" s="1042"/>
      <c r="AX793" s="1042"/>
    </row>
    <row r="794" spans="1:50">
      <c r="A794" s="1042"/>
      <c r="Y794" s="1042"/>
      <c r="Z794" s="1042"/>
      <c r="AA794" s="1042"/>
      <c r="AX794" s="1042"/>
    </row>
    <row r="795" spans="1:50">
      <c r="A795" s="1042"/>
      <c r="Y795" s="1042"/>
      <c r="Z795" s="1042"/>
      <c r="AA795" s="1042"/>
      <c r="AX795" s="1042"/>
    </row>
    <row r="796" spans="1:50">
      <c r="A796" s="1042"/>
      <c r="Y796" s="1042"/>
      <c r="Z796" s="1042"/>
      <c r="AA796" s="1042"/>
      <c r="AX796" s="1042"/>
    </row>
    <row r="797" spans="1:50">
      <c r="A797" s="1042"/>
      <c r="Y797" s="1042"/>
      <c r="Z797" s="1042"/>
      <c r="AA797" s="1042"/>
      <c r="AX797" s="1042"/>
    </row>
    <row r="798" spans="1:50">
      <c r="A798" s="1042"/>
      <c r="Y798" s="1042"/>
      <c r="Z798" s="1042"/>
      <c r="AA798" s="1042"/>
      <c r="AX798" s="1042"/>
    </row>
    <row r="799" spans="1:50">
      <c r="A799" s="1042"/>
      <c r="Y799" s="1042"/>
      <c r="Z799" s="1042"/>
      <c r="AA799" s="1042"/>
      <c r="AX799" s="1042"/>
    </row>
    <row r="800" spans="1:50">
      <c r="A800" s="1042"/>
      <c r="Y800" s="1042"/>
      <c r="Z800" s="1042"/>
      <c r="AA800" s="1042"/>
      <c r="AX800" s="1042"/>
    </row>
    <row r="801" spans="1:50">
      <c r="A801" s="1042"/>
      <c r="Y801" s="1042"/>
      <c r="Z801" s="1042"/>
      <c r="AA801" s="1042"/>
      <c r="AX801" s="1042"/>
    </row>
    <row r="802" spans="1:50">
      <c r="A802" s="1042"/>
      <c r="Y802" s="1042"/>
      <c r="Z802" s="1042"/>
      <c r="AA802" s="1042"/>
      <c r="AX802" s="1042"/>
    </row>
    <row r="803" spans="1:50">
      <c r="A803" s="1042"/>
      <c r="Y803" s="1042"/>
      <c r="Z803" s="1042"/>
      <c r="AA803" s="1042"/>
      <c r="AX803" s="1042"/>
    </row>
    <row r="804" spans="1:50">
      <c r="A804" s="1042"/>
      <c r="Y804" s="1042"/>
      <c r="Z804" s="1042"/>
      <c r="AA804" s="1042"/>
      <c r="AX804" s="1042"/>
    </row>
    <row r="805" spans="1:50">
      <c r="A805" s="1042"/>
      <c r="Y805" s="1042"/>
      <c r="Z805" s="1042"/>
      <c r="AA805" s="1042"/>
      <c r="AX805" s="1042"/>
    </row>
    <row r="806" spans="1:50">
      <c r="A806" s="1042"/>
      <c r="Y806" s="1042"/>
      <c r="Z806" s="1042"/>
      <c r="AA806" s="1042"/>
      <c r="AX806" s="1042"/>
    </row>
    <row r="807" spans="1:50">
      <c r="A807" s="1042"/>
      <c r="Y807" s="1042"/>
      <c r="Z807" s="1042"/>
      <c r="AA807" s="1042"/>
      <c r="AX807" s="1042"/>
    </row>
    <row r="808" spans="1:50">
      <c r="A808" s="1042"/>
      <c r="Y808" s="1042"/>
      <c r="Z808" s="1042"/>
      <c r="AA808" s="1042"/>
      <c r="AX808" s="1042"/>
    </row>
    <row r="809" spans="1:50">
      <c r="A809" s="1042"/>
      <c r="Y809" s="1042"/>
      <c r="Z809" s="1042"/>
      <c r="AA809" s="1042"/>
      <c r="AX809" s="1042"/>
    </row>
    <row r="810" spans="1:50">
      <c r="A810" s="1042"/>
      <c r="Y810" s="1042"/>
      <c r="Z810" s="1042"/>
      <c r="AA810" s="1042"/>
      <c r="AX810" s="1042"/>
    </row>
    <row r="811" spans="1:50">
      <c r="A811" s="1042"/>
      <c r="Y811" s="1042"/>
      <c r="Z811" s="1042"/>
      <c r="AA811" s="1042"/>
      <c r="AX811" s="1042"/>
    </row>
    <row r="812" spans="1:50">
      <c r="A812" s="1042"/>
      <c r="Y812" s="1042"/>
      <c r="Z812" s="1042"/>
      <c r="AA812" s="1042"/>
      <c r="AX812" s="1042"/>
    </row>
    <row r="813" spans="1:50">
      <c r="A813" s="1042"/>
      <c r="Y813" s="1042"/>
      <c r="Z813" s="1042"/>
      <c r="AA813" s="1042"/>
      <c r="AX813" s="1042"/>
    </row>
    <row r="814" spans="1:50">
      <c r="A814" s="1042"/>
      <c r="Y814" s="1042"/>
      <c r="Z814" s="1042"/>
      <c r="AA814" s="1042"/>
      <c r="AX814" s="1042"/>
    </row>
    <row r="815" spans="1:50">
      <c r="A815" s="1042"/>
      <c r="Y815" s="1042"/>
      <c r="Z815" s="1042"/>
      <c r="AA815" s="1042"/>
      <c r="AX815" s="1042"/>
    </row>
    <row r="816" spans="1:50">
      <c r="A816" s="1042"/>
      <c r="Y816" s="1042"/>
      <c r="Z816" s="1042"/>
      <c r="AA816" s="1042"/>
      <c r="AX816" s="1042"/>
    </row>
    <row r="817" spans="1:50">
      <c r="A817" s="1042"/>
      <c r="Y817" s="1042"/>
      <c r="Z817" s="1042"/>
      <c r="AA817" s="1042"/>
      <c r="AX817" s="1042"/>
    </row>
    <row r="818" spans="1:50">
      <c r="A818" s="1042"/>
      <c r="Y818" s="1042"/>
      <c r="Z818" s="1042"/>
      <c r="AA818" s="1042"/>
      <c r="AX818" s="1042"/>
    </row>
    <row r="819" spans="1:50">
      <c r="A819" s="1042"/>
      <c r="Y819" s="1042"/>
      <c r="Z819" s="1042"/>
      <c r="AA819" s="1042"/>
      <c r="AX819" s="1042"/>
    </row>
    <row r="820" spans="1:50">
      <c r="A820" s="1042"/>
      <c r="Y820" s="1042"/>
      <c r="Z820" s="1042"/>
      <c r="AA820" s="1042"/>
      <c r="AX820" s="1042"/>
    </row>
    <row r="821" spans="1:50">
      <c r="A821" s="1042"/>
      <c r="Y821" s="1042"/>
      <c r="Z821" s="1042"/>
      <c r="AA821" s="1042"/>
      <c r="AX821" s="1042"/>
    </row>
    <row r="822" spans="1:50">
      <c r="A822" s="1042"/>
      <c r="Y822" s="1042"/>
      <c r="Z822" s="1042"/>
      <c r="AA822" s="1042"/>
      <c r="AX822" s="1042"/>
    </row>
    <row r="823" spans="1:50">
      <c r="A823" s="1042"/>
      <c r="Y823" s="1042"/>
      <c r="Z823" s="1042"/>
      <c r="AA823" s="1042"/>
      <c r="AX823" s="1042"/>
    </row>
    <row r="824" spans="1:50">
      <c r="A824" s="1042"/>
      <c r="Y824" s="1042"/>
      <c r="Z824" s="1042"/>
      <c r="AA824" s="1042"/>
      <c r="AX824" s="1042"/>
    </row>
    <row r="825" spans="1:50">
      <c r="A825" s="1042"/>
      <c r="Y825" s="1042"/>
      <c r="Z825" s="1042"/>
      <c r="AA825" s="1042"/>
      <c r="AX825" s="1042"/>
    </row>
    <row r="826" spans="1:50">
      <c r="A826" s="1042"/>
      <c r="Y826" s="1042"/>
      <c r="Z826" s="1042"/>
      <c r="AA826" s="1042"/>
      <c r="AX826" s="1042"/>
    </row>
    <row r="827" spans="1:50">
      <c r="A827" s="1042"/>
      <c r="Y827" s="1042"/>
      <c r="Z827" s="1042"/>
      <c r="AA827" s="1042"/>
      <c r="AX827" s="1042"/>
    </row>
    <row r="828" spans="1:50">
      <c r="A828" s="1042"/>
      <c r="Y828" s="1042"/>
      <c r="Z828" s="1042"/>
      <c r="AA828" s="1042"/>
      <c r="AX828" s="1042"/>
    </row>
    <row r="829" spans="1:50">
      <c r="A829" s="1042"/>
      <c r="Y829" s="1042"/>
      <c r="Z829" s="1042"/>
      <c r="AA829" s="1042"/>
      <c r="AX829" s="1042"/>
    </row>
    <row r="830" spans="1:50">
      <c r="A830" s="1042"/>
      <c r="Y830" s="1042"/>
      <c r="Z830" s="1042"/>
      <c r="AA830" s="1042"/>
      <c r="AX830" s="1042"/>
    </row>
    <row r="831" spans="1:50">
      <c r="A831" s="1042"/>
      <c r="Y831" s="1042"/>
      <c r="Z831" s="1042"/>
      <c r="AA831" s="1042"/>
      <c r="AX831" s="1042"/>
    </row>
    <row r="832" spans="1:50">
      <c r="A832" s="1042"/>
      <c r="Y832" s="1042"/>
      <c r="Z832" s="1042"/>
      <c r="AA832" s="1042"/>
      <c r="AX832" s="1042"/>
    </row>
    <row r="833" spans="1:50">
      <c r="A833" s="1042"/>
      <c r="Y833" s="1042"/>
      <c r="Z833" s="1042"/>
      <c r="AA833" s="1042"/>
      <c r="AX833" s="1042"/>
    </row>
    <row r="834" spans="1:50">
      <c r="A834" s="1042"/>
      <c r="Y834" s="1042"/>
      <c r="Z834" s="1042"/>
      <c r="AA834" s="1042"/>
      <c r="AX834" s="1042"/>
    </row>
    <row r="835" spans="1:50">
      <c r="A835" s="1042"/>
      <c r="Y835" s="1042"/>
      <c r="Z835" s="1042"/>
      <c r="AA835" s="1042"/>
      <c r="AX835" s="1042"/>
    </row>
    <row r="836" spans="1:50">
      <c r="A836" s="1042"/>
      <c r="Y836" s="1042"/>
      <c r="Z836" s="1042"/>
      <c r="AA836" s="1042"/>
      <c r="AX836" s="1042"/>
    </row>
    <row r="837" spans="1:50">
      <c r="A837" s="1042"/>
      <c r="Y837" s="1042"/>
      <c r="Z837" s="1042"/>
      <c r="AA837" s="1042"/>
      <c r="AX837" s="1042"/>
    </row>
    <row r="838" spans="1:50">
      <c r="A838" s="1042"/>
      <c r="Y838" s="1042"/>
      <c r="Z838" s="1042"/>
      <c r="AA838" s="1042"/>
      <c r="AX838" s="1042"/>
    </row>
    <row r="839" spans="1:50">
      <c r="A839" s="1042"/>
      <c r="Y839" s="1042"/>
      <c r="Z839" s="1042"/>
      <c r="AA839" s="1042"/>
      <c r="AX839" s="1042"/>
    </row>
    <row r="840" spans="1:50">
      <c r="A840" s="1042"/>
      <c r="Y840" s="1042"/>
      <c r="Z840" s="1042"/>
      <c r="AA840" s="1042"/>
      <c r="AX840" s="1042"/>
    </row>
    <row r="841" spans="1:50">
      <c r="A841" s="1042"/>
      <c r="Y841" s="1042"/>
      <c r="Z841" s="1042"/>
      <c r="AA841" s="1042"/>
      <c r="AX841" s="1042"/>
    </row>
    <row r="842" spans="1:50">
      <c r="A842" s="1042"/>
      <c r="Y842" s="1042"/>
      <c r="Z842" s="1042"/>
      <c r="AA842" s="1042"/>
      <c r="AX842" s="1042"/>
    </row>
    <row r="843" spans="1:50">
      <c r="A843" s="1042"/>
      <c r="Y843" s="1042"/>
      <c r="Z843" s="1042"/>
      <c r="AA843" s="1042"/>
      <c r="AX843" s="1042"/>
    </row>
    <row r="844" spans="1:50">
      <c r="A844" s="1042"/>
      <c r="Y844" s="1042"/>
      <c r="Z844" s="1042"/>
      <c r="AA844" s="1042"/>
      <c r="AX844" s="1042"/>
    </row>
    <row r="845" spans="1:50">
      <c r="A845" s="1042"/>
      <c r="Y845" s="1042"/>
      <c r="Z845" s="1042"/>
      <c r="AA845" s="1042"/>
      <c r="AX845" s="1042"/>
    </row>
    <row r="846" spans="1:50">
      <c r="A846" s="1042"/>
      <c r="Y846" s="1042"/>
      <c r="Z846" s="1042"/>
      <c r="AA846" s="1042"/>
      <c r="AX846" s="1042"/>
    </row>
    <row r="847" spans="1:50">
      <c r="A847" s="1042"/>
      <c r="Y847" s="1042"/>
      <c r="Z847" s="1042"/>
      <c r="AA847" s="1042"/>
      <c r="AX847" s="1042"/>
    </row>
    <row r="848" spans="1:50">
      <c r="A848" s="1042"/>
      <c r="Y848" s="1042"/>
      <c r="Z848" s="1042"/>
      <c r="AA848" s="1042"/>
      <c r="AX848" s="1042"/>
    </row>
    <row r="849" spans="1:50">
      <c r="A849" s="1042"/>
      <c r="Y849" s="1042"/>
      <c r="Z849" s="1042"/>
      <c r="AA849" s="1042"/>
      <c r="AX849" s="1042"/>
    </row>
    <row r="850" spans="1:50">
      <c r="A850" s="1042"/>
      <c r="Y850" s="1042"/>
      <c r="Z850" s="1042"/>
      <c r="AA850" s="1042"/>
      <c r="AX850" s="1042"/>
    </row>
    <row r="851" spans="1:50">
      <c r="A851" s="1042"/>
      <c r="Y851" s="1042"/>
      <c r="Z851" s="1042"/>
      <c r="AA851" s="1042"/>
      <c r="AX851" s="1042"/>
    </row>
    <row r="852" spans="1:50">
      <c r="A852" s="1042"/>
      <c r="Y852" s="1042"/>
      <c r="Z852" s="1042"/>
      <c r="AA852" s="1042"/>
      <c r="AX852" s="1042"/>
    </row>
    <row r="853" spans="1:50">
      <c r="A853" s="1042"/>
      <c r="Y853" s="1042"/>
      <c r="Z853" s="1042"/>
      <c r="AA853" s="1042"/>
      <c r="AX853" s="1042"/>
    </row>
    <row r="854" spans="1:50">
      <c r="A854" s="1042"/>
      <c r="Y854" s="1042"/>
      <c r="Z854" s="1042"/>
      <c r="AA854" s="1042"/>
      <c r="AX854" s="1042"/>
    </row>
    <row r="855" spans="1:50">
      <c r="A855" s="1042"/>
      <c r="Y855" s="1042"/>
      <c r="Z855" s="1042"/>
      <c r="AA855" s="1042"/>
      <c r="AX855" s="1042"/>
    </row>
    <row r="856" spans="1:50">
      <c r="A856" s="1042"/>
      <c r="Y856" s="1042"/>
      <c r="Z856" s="1042"/>
      <c r="AA856" s="1042"/>
      <c r="AX856" s="1042"/>
    </row>
    <row r="857" spans="1:50">
      <c r="A857" s="1042"/>
      <c r="Y857" s="1042"/>
      <c r="Z857" s="1042"/>
      <c r="AA857" s="1042"/>
      <c r="AX857" s="1042"/>
    </row>
    <row r="858" spans="1:50">
      <c r="A858" s="1042"/>
      <c r="Y858" s="1042"/>
      <c r="Z858" s="1042"/>
      <c r="AA858" s="1042"/>
      <c r="AX858" s="1042"/>
    </row>
    <row r="859" spans="1:50">
      <c r="A859" s="1042"/>
      <c r="Y859" s="1042"/>
      <c r="Z859" s="1042"/>
      <c r="AA859" s="1042"/>
      <c r="AX859" s="1042"/>
    </row>
    <row r="860" spans="1:50">
      <c r="A860" s="1042"/>
      <c r="Y860" s="1042"/>
      <c r="Z860" s="1042"/>
      <c r="AA860" s="1042"/>
      <c r="AX860" s="1042"/>
    </row>
    <row r="861" spans="1:50">
      <c r="A861" s="1042"/>
      <c r="Y861" s="1042"/>
      <c r="Z861" s="1042"/>
      <c r="AA861" s="1042"/>
      <c r="AX861" s="1042"/>
    </row>
    <row r="862" spans="1:50">
      <c r="A862" s="1042"/>
      <c r="Y862" s="1042"/>
      <c r="Z862" s="1042"/>
      <c r="AA862" s="1042"/>
      <c r="AX862" s="1042"/>
    </row>
    <row r="863" spans="1:50">
      <c r="A863" s="1042"/>
      <c r="Y863" s="1042"/>
      <c r="Z863" s="1042"/>
      <c r="AA863" s="1042"/>
      <c r="AX863" s="1042"/>
    </row>
    <row r="864" spans="1:50">
      <c r="A864" s="1042"/>
      <c r="Y864" s="1042"/>
      <c r="Z864" s="1042"/>
      <c r="AA864" s="1042"/>
      <c r="AX864" s="1042"/>
    </row>
    <row r="865" spans="1:50">
      <c r="A865" s="1042"/>
      <c r="Y865" s="1042"/>
      <c r="Z865" s="1042"/>
      <c r="AA865" s="1042"/>
      <c r="AX865" s="1042"/>
    </row>
    <row r="866" spans="1:50">
      <c r="A866" s="1042"/>
      <c r="Y866" s="1042"/>
      <c r="Z866" s="1042"/>
      <c r="AA866" s="1042"/>
      <c r="AX866" s="1042"/>
    </row>
    <row r="867" spans="1:50">
      <c r="A867" s="1042"/>
      <c r="Y867" s="1042"/>
      <c r="Z867" s="1042"/>
      <c r="AA867" s="1042"/>
      <c r="AX867" s="1042"/>
    </row>
    <row r="868" spans="1:50">
      <c r="A868" s="1042"/>
      <c r="Y868" s="1042"/>
      <c r="Z868" s="1042"/>
      <c r="AA868" s="1042"/>
      <c r="AX868" s="1042"/>
    </row>
    <row r="869" spans="1:50">
      <c r="A869" s="1042"/>
      <c r="Y869" s="1042"/>
      <c r="Z869" s="1042"/>
      <c r="AA869" s="1042"/>
      <c r="AX869" s="1042"/>
    </row>
    <row r="870" spans="1:50">
      <c r="A870" s="1042"/>
      <c r="Y870" s="1042"/>
      <c r="Z870" s="1042"/>
      <c r="AA870" s="1042"/>
      <c r="AX870" s="1042"/>
    </row>
    <row r="871" spans="1:50">
      <c r="A871" s="1042"/>
      <c r="Y871" s="1042"/>
      <c r="Z871" s="1042"/>
      <c r="AA871" s="1042"/>
      <c r="AX871" s="1042"/>
    </row>
    <row r="872" spans="1:50">
      <c r="A872" s="1042"/>
      <c r="Y872" s="1042"/>
      <c r="Z872" s="1042"/>
      <c r="AA872" s="1042"/>
      <c r="AX872" s="1042"/>
    </row>
    <row r="873" spans="1:50">
      <c r="A873" s="1042"/>
      <c r="Y873" s="1042"/>
      <c r="Z873" s="1042"/>
      <c r="AA873" s="1042"/>
      <c r="AX873" s="1042"/>
    </row>
    <row r="874" spans="1:50">
      <c r="A874" s="1042"/>
      <c r="Y874" s="1042"/>
      <c r="Z874" s="1042"/>
      <c r="AA874" s="1042"/>
      <c r="AX874" s="1042"/>
    </row>
    <row r="875" spans="1:50">
      <c r="A875" s="1042"/>
      <c r="Y875" s="1042"/>
      <c r="Z875" s="1042"/>
      <c r="AA875" s="1042"/>
      <c r="AX875" s="1042"/>
    </row>
    <row r="876" spans="1:50">
      <c r="A876" s="1042"/>
      <c r="Y876" s="1042"/>
      <c r="Z876" s="1042"/>
      <c r="AA876" s="1042"/>
      <c r="AX876" s="1042"/>
    </row>
    <row r="877" spans="1:50">
      <c r="A877" s="1042"/>
      <c r="Y877" s="1042"/>
      <c r="Z877" s="1042"/>
      <c r="AA877" s="1042"/>
      <c r="AX877" s="1042"/>
    </row>
    <row r="878" spans="1:50">
      <c r="A878" s="1042"/>
      <c r="Y878" s="1042"/>
      <c r="Z878" s="1042"/>
      <c r="AA878" s="1042"/>
      <c r="AX878" s="1042"/>
    </row>
    <row r="879" spans="1:50">
      <c r="A879" s="1042"/>
      <c r="Y879" s="1042"/>
      <c r="Z879" s="1042"/>
      <c r="AA879" s="1042"/>
      <c r="AX879" s="1042"/>
    </row>
    <row r="880" spans="1:50">
      <c r="A880" s="1042"/>
      <c r="Y880" s="1042"/>
      <c r="Z880" s="1042"/>
      <c r="AA880" s="1042"/>
      <c r="AX880" s="1042"/>
    </row>
    <row r="881" spans="1:50">
      <c r="A881" s="1042"/>
      <c r="Y881" s="1042"/>
      <c r="Z881" s="1042"/>
      <c r="AA881" s="1042"/>
      <c r="AX881" s="1042"/>
    </row>
    <row r="882" spans="1:50">
      <c r="A882" s="1042"/>
      <c r="Y882" s="1042"/>
      <c r="Z882" s="1042"/>
      <c r="AA882" s="1042"/>
      <c r="AX882" s="1042"/>
    </row>
    <row r="883" spans="1:50">
      <c r="A883" s="1042"/>
      <c r="Y883" s="1042"/>
      <c r="Z883" s="1042"/>
      <c r="AA883" s="1042"/>
      <c r="AX883" s="1042"/>
    </row>
    <row r="884" spans="1:50">
      <c r="A884" s="1042"/>
      <c r="Y884" s="1042"/>
      <c r="Z884" s="1042"/>
      <c r="AA884" s="1042"/>
      <c r="AX884" s="1042"/>
    </row>
    <row r="885" spans="1:50">
      <c r="A885" s="1042"/>
      <c r="Y885" s="1042"/>
      <c r="Z885" s="1042"/>
      <c r="AA885" s="1042"/>
      <c r="AX885" s="1042"/>
    </row>
    <row r="886" spans="1:50">
      <c r="A886" s="1042"/>
      <c r="Y886" s="1042"/>
      <c r="Z886" s="1042"/>
      <c r="AA886" s="1042"/>
      <c r="AX886" s="1042"/>
    </row>
    <row r="887" spans="1:50">
      <c r="A887" s="1042"/>
      <c r="Y887" s="1042"/>
      <c r="Z887" s="1042"/>
      <c r="AA887" s="1042"/>
      <c r="AX887" s="1042"/>
    </row>
    <row r="888" spans="1:50">
      <c r="A888" s="1042"/>
      <c r="Y888" s="1042"/>
      <c r="Z888" s="1042"/>
      <c r="AA888" s="1042"/>
      <c r="AX888" s="1042"/>
    </row>
    <row r="889" spans="1:50">
      <c r="A889" s="1042"/>
      <c r="Y889" s="1042"/>
      <c r="Z889" s="1042"/>
      <c r="AA889" s="1042"/>
      <c r="AX889" s="1042"/>
    </row>
    <row r="890" spans="1:50">
      <c r="A890" s="1042"/>
      <c r="Y890" s="1042"/>
      <c r="Z890" s="1042"/>
      <c r="AA890" s="1042"/>
      <c r="AX890" s="1042"/>
    </row>
    <row r="891" spans="1:50">
      <c r="A891" s="1042"/>
      <c r="Y891" s="1042"/>
      <c r="Z891" s="1042"/>
      <c r="AA891" s="1042"/>
      <c r="AX891" s="1042"/>
    </row>
    <row r="892" spans="1:50">
      <c r="A892" s="1042"/>
      <c r="Y892" s="1042"/>
      <c r="Z892" s="1042"/>
      <c r="AA892" s="1042"/>
      <c r="AX892" s="1042"/>
    </row>
    <row r="893" spans="1:50">
      <c r="A893" s="1042"/>
      <c r="Y893" s="1042"/>
      <c r="Z893" s="1042"/>
      <c r="AA893" s="1042"/>
      <c r="AX893" s="1042"/>
    </row>
    <row r="894" spans="1:50">
      <c r="A894" s="1042"/>
      <c r="Y894" s="1042"/>
      <c r="Z894" s="1042"/>
      <c r="AA894" s="1042"/>
      <c r="AX894" s="1042"/>
    </row>
    <row r="895" spans="1:50">
      <c r="A895" s="1042"/>
      <c r="Y895" s="1042"/>
      <c r="Z895" s="1042"/>
      <c r="AA895" s="1042"/>
      <c r="AX895" s="1042"/>
    </row>
    <row r="896" spans="1:50">
      <c r="A896" s="1042"/>
      <c r="Y896" s="1042"/>
      <c r="Z896" s="1042"/>
      <c r="AA896" s="1042"/>
      <c r="AX896" s="1042"/>
    </row>
    <row r="897" spans="1:50">
      <c r="A897" s="1042"/>
      <c r="Y897" s="1042"/>
      <c r="Z897" s="1042"/>
      <c r="AA897" s="1042"/>
      <c r="AX897" s="1042"/>
    </row>
    <row r="898" spans="1:50">
      <c r="A898" s="1042"/>
      <c r="Y898" s="1042"/>
      <c r="Z898" s="1042"/>
      <c r="AA898" s="1042"/>
      <c r="AX898" s="1042"/>
    </row>
    <row r="899" spans="1:50">
      <c r="A899" s="1042"/>
      <c r="Y899" s="1042"/>
      <c r="Z899" s="1042"/>
      <c r="AA899" s="1042"/>
      <c r="AX899" s="1042"/>
    </row>
    <row r="900" spans="1:50">
      <c r="A900" s="1042"/>
      <c r="Y900" s="1042"/>
      <c r="Z900" s="1042"/>
      <c r="AA900" s="1042"/>
      <c r="AX900" s="1042"/>
    </row>
    <row r="901" spans="1:50">
      <c r="A901" s="1042"/>
      <c r="Y901" s="1042"/>
      <c r="Z901" s="1042"/>
      <c r="AA901" s="1042"/>
      <c r="AX901" s="1042"/>
    </row>
    <row r="902" spans="1:50">
      <c r="A902" s="1042"/>
      <c r="Y902" s="1042"/>
      <c r="Z902" s="1042"/>
      <c r="AA902" s="1042"/>
      <c r="AX902" s="1042"/>
    </row>
    <row r="903" spans="1:50">
      <c r="A903" s="1042"/>
      <c r="Y903" s="1042"/>
      <c r="Z903" s="1042"/>
      <c r="AA903" s="1042"/>
      <c r="AX903" s="1042"/>
    </row>
    <row r="904" spans="1:50">
      <c r="A904" s="1042"/>
      <c r="Y904" s="1042"/>
      <c r="Z904" s="1042"/>
      <c r="AA904" s="1042"/>
      <c r="AX904" s="1042"/>
    </row>
    <row r="905" spans="1:50">
      <c r="A905" s="1042"/>
      <c r="Y905" s="1042"/>
      <c r="Z905" s="1042"/>
      <c r="AA905" s="1042"/>
      <c r="AX905" s="1042"/>
    </row>
    <row r="906" spans="1:50">
      <c r="A906" s="1042"/>
      <c r="Y906" s="1042"/>
      <c r="Z906" s="1042"/>
      <c r="AA906" s="1042"/>
      <c r="AX906" s="1042"/>
    </row>
    <row r="907" spans="1:50">
      <c r="A907" s="1042"/>
      <c r="Y907" s="1042"/>
      <c r="Z907" s="1042"/>
      <c r="AA907" s="1042"/>
      <c r="AX907" s="1042"/>
    </row>
    <row r="908" spans="1:50">
      <c r="A908" s="1042"/>
      <c r="Y908" s="1042"/>
      <c r="Z908" s="1042"/>
      <c r="AA908" s="1042"/>
      <c r="AX908" s="1042"/>
    </row>
    <row r="909" spans="1:50">
      <c r="A909" s="1042"/>
      <c r="Y909" s="1042"/>
      <c r="Z909" s="1042"/>
      <c r="AA909" s="1042"/>
      <c r="AX909" s="1042"/>
    </row>
    <row r="910" spans="1:50">
      <c r="A910" s="1042"/>
      <c r="Y910" s="1042"/>
      <c r="Z910" s="1042"/>
      <c r="AA910" s="1042"/>
      <c r="AX910" s="1042"/>
    </row>
    <row r="911" spans="1:50">
      <c r="A911" s="1042"/>
      <c r="Y911" s="1042"/>
      <c r="Z911" s="1042"/>
      <c r="AA911" s="1042"/>
      <c r="AX911" s="1042"/>
    </row>
    <row r="912" spans="1:50">
      <c r="A912" s="1042"/>
      <c r="Y912" s="1042"/>
      <c r="Z912" s="1042"/>
      <c r="AA912" s="1042"/>
      <c r="AX912" s="1042"/>
    </row>
    <row r="913" spans="1:50">
      <c r="A913" s="1042"/>
      <c r="Y913" s="1042"/>
      <c r="Z913" s="1042"/>
      <c r="AA913" s="1042"/>
      <c r="AX913" s="1042"/>
    </row>
    <row r="914" spans="1:50">
      <c r="A914" s="1042"/>
      <c r="Y914" s="1042"/>
      <c r="Z914" s="1042"/>
      <c r="AA914" s="1042"/>
      <c r="AX914" s="1042"/>
    </row>
    <row r="915" spans="1:50">
      <c r="A915" s="1042"/>
      <c r="Y915" s="1042"/>
      <c r="Z915" s="1042"/>
      <c r="AA915" s="1042"/>
      <c r="AX915" s="1042"/>
    </row>
    <row r="916" spans="1:50">
      <c r="A916" s="1042"/>
      <c r="Y916" s="1042"/>
      <c r="Z916" s="1042"/>
      <c r="AA916" s="1042"/>
      <c r="AX916" s="1042"/>
    </row>
    <row r="917" spans="1:50">
      <c r="A917" s="1042"/>
      <c r="Y917" s="1042"/>
      <c r="Z917" s="1042"/>
      <c r="AA917" s="1042"/>
      <c r="AX917" s="1042"/>
    </row>
    <row r="918" spans="1:50">
      <c r="A918" s="1042"/>
      <c r="Y918" s="1042"/>
      <c r="Z918" s="1042"/>
      <c r="AA918" s="1042"/>
      <c r="AX918" s="1042"/>
    </row>
    <row r="919" spans="1:50">
      <c r="A919" s="1042"/>
      <c r="Y919" s="1042"/>
      <c r="Z919" s="1042"/>
      <c r="AA919" s="1042"/>
      <c r="AX919" s="1042"/>
    </row>
    <row r="920" spans="1:50">
      <c r="A920" s="1042"/>
      <c r="Y920" s="1042"/>
      <c r="Z920" s="1042"/>
      <c r="AA920" s="1042"/>
      <c r="AX920" s="1042"/>
    </row>
    <row r="921" spans="1:50">
      <c r="A921" s="1042"/>
      <c r="Y921" s="1042"/>
      <c r="Z921" s="1042"/>
      <c r="AA921" s="1042"/>
      <c r="AX921" s="1042"/>
    </row>
    <row r="922" spans="1:50">
      <c r="A922" s="1042"/>
      <c r="Y922" s="1042"/>
      <c r="Z922" s="1042"/>
      <c r="AA922" s="1042"/>
      <c r="AX922" s="1042"/>
    </row>
    <row r="923" spans="1:50">
      <c r="A923" s="1042"/>
      <c r="Y923" s="1042"/>
      <c r="Z923" s="1042"/>
      <c r="AA923" s="1042"/>
      <c r="AX923" s="1042"/>
    </row>
    <row r="924" spans="1:50">
      <c r="A924" s="1042"/>
      <c r="Y924" s="1042"/>
      <c r="Z924" s="1042"/>
      <c r="AA924" s="1042"/>
      <c r="AX924" s="1042"/>
    </row>
    <row r="925" spans="1:50">
      <c r="A925" s="1042"/>
      <c r="Y925" s="1042"/>
      <c r="Z925" s="1042"/>
      <c r="AA925" s="1042"/>
      <c r="AX925" s="1042"/>
    </row>
    <row r="926" spans="1:50">
      <c r="A926" s="1042"/>
      <c r="Y926" s="1042"/>
      <c r="Z926" s="1042"/>
      <c r="AA926" s="1042"/>
      <c r="AX926" s="1042"/>
    </row>
    <row r="927" spans="1:50">
      <c r="A927" s="1042"/>
      <c r="Y927" s="1042"/>
      <c r="Z927" s="1042"/>
      <c r="AA927" s="1042"/>
      <c r="AX927" s="1042"/>
    </row>
    <row r="928" spans="1:50">
      <c r="A928" s="1042"/>
      <c r="Y928" s="1042"/>
      <c r="Z928" s="1042"/>
      <c r="AA928" s="1042"/>
      <c r="AX928" s="1042"/>
    </row>
    <row r="929" spans="1:50">
      <c r="A929" s="1042"/>
      <c r="Y929" s="1042"/>
      <c r="Z929" s="1042"/>
      <c r="AA929" s="1042"/>
      <c r="AX929" s="1042"/>
    </row>
    <row r="930" spans="1:50">
      <c r="A930" s="1042"/>
      <c r="Y930" s="1042"/>
      <c r="Z930" s="1042"/>
      <c r="AA930" s="1042"/>
      <c r="AX930" s="1042"/>
    </row>
    <row r="931" spans="1:50">
      <c r="A931" s="1042"/>
      <c r="Y931" s="1042"/>
      <c r="Z931" s="1042"/>
      <c r="AA931" s="1042"/>
      <c r="AX931" s="1042"/>
    </row>
    <row r="932" spans="1:50">
      <c r="A932" s="1042"/>
      <c r="Y932" s="1042"/>
      <c r="Z932" s="1042"/>
      <c r="AA932" s="1042"/>
      <c r="AX932" s="1042"/>
    </row>
    <row r="933" spans="1:50">
      <c r="A933" s="1042"/>
      <c r="Y933" s="1042"/>
      <c r="Z933" s="1042"/>
      <c r="AA933" s="1042"/>
      <c r="AX933" s="1042"/>
    </row>
    <row r="934" spans="1:50">
      <c r="A934" s="1042"/>
      <c r="Y934" s="1042"/>
      <c r="Z934" s="1042"/>
      <c r="AA934" s="1042"/>
      <c r="AX934" s="1042"/>
    </row>
    <row r="935" spans="1:50">
      <c r="A935" s="1042"/>
      <c r="Y935" s="1042"/>
      <c r="Z935" s="1042"/>
      <c r="AA935" s="1042"/>
      <c r="AX935" s="1042"/>
    </row>
    <row r="936" spans="1:50">
      <c r="A936" s="1042"/>
      <c r="Y936" s="1042"/>
      <c r="Z936" s="1042"/>
      <c r="AA936" s="1042"/>
      <c r="AX936" s="1042"/>
    </row>
    <row r="937" spans="1:50">
      <c r="A937" s="1042"/>
      <c r="Y937" s="1042"/>
      <c r="Z937" s="1042"/>
      <c r="AA937" s="1042"/>
      <c r="AX937" s="1042"/>
    </row>
    <row r="938" spans="1:50">
      <c r="A938" s="1042"/>
      <c r="Y938" s="1042"/>
      <c r="Z938" s="1042"/>
      <c r="AA938" s="1042"/>
      <c r="AX938" s="1042"/>
    </row>
    <row r="939" spans="1:50">
      <c r="A939" s="1042"/>
      <c r="Y939" s="1042"/>
      <c r="Z939" s="1042"/>
      <c r="AA939" s="1042"/>
      <c r="AX939" s="1042"/>
    </row>
    <row r="940" spans="1:50">
      <c r="A940" s="1042"/>
      <c r="Y940" s="1042"/>
      <c r="Z940" s="1042"/>
      <c r="AA940" s="1042"/>
      <c r="AX940" s="1042"/>
    </row>
    <row r="941" spans="1:50">
      <c r="A941" s="1042"/>
      <c r="Y941" s="1042"/>
      <c r="Z941" s="1042"/>
      <c r="AA941" s="1042"/>
      <c r="AX941" s="1042"/>
    </row>
    <row r="942" spans="1:50">
      <c r="A942" s="1042"/>
      <c r="Y942" s="1042"/>
      <c r="Z942" s="1042"/>
      <c r="AA942" s="1042"/>
      <c r="AX942" s="1042"/>
    </row>
    <row r="943" spans="1:50">
      <c r="A943" s="1042"/>
      <c r="Y943" s="1042"/>
      <c r="Z943" s="1042"/>
      <c r="AA943" s="1042"/>
      <c r="AX943" s="1042"/>
    </row>
    <row r="944" spans="1:50">
      <c r="A944" s="1042"/>
      <c r="Y944" s="1042"/>
      <c r="Z944" s="1042"/>
      <c r="AA944" s="1042"/>
      <c r="AX944" s="1042"/>
    </row>
    <row r="945" spans="1:50">
      <c r="A945" s="1042"/>
      <c r="Y945" s="1042"/>
      <c r="Z945" s="1042"/>
      <c r="AA945" s="1042"/>
      <c r="AX945" s="1042"/>
    </row>
    <row r="946" spans="1:50">
      <c r="A946" s="1042"/>
      <c r="Y946" s="1042"/>
      <c r="Z946" s="1042"/>
      <c r="AA946" s="1042"/>
      <c r="AX946" s="1042"/>
    </row>
    <row r="947" spans="1:50">
      <c r="A947" s="1042"/>
      <c r="Y947" s="1042"/>
      <c r="Z947" s="1042"/>
      <c r="AA947" s="1042"/>
      <c r="AX947" s="1042"/>
    </row>
    <row r="948" spans="1:50">
      <c r="A948" s="1042"/>
      <c r="Y948" s="1042"/>
      <c r="Z948" s="1042"/>
      <c r="AA948" s="1042"/>
      <c r="AX948" s="1042"/>
    </row>
    <row r="949" spans="1:50">
      <c r="A949" s="1042"/>
      <c r="Y949" s="1042"/>
      <c r="Z949" s="1042"/>
      <c r="AA949" s="1042"/>
      <c r="AX949" s="1042"/>
    </row>
    <row r="950" spans="1:50">
      <c r="A950" s="1042"/>
      <c r="Y950" s="1042"/>
      <c r="Z950" s="1042"/>
      <c r="AA950" s="1042"/>
      <c r="AX950" s="1042"/>
    </row>
    <row r="951" spans="1:50">
      <c r="A951" s="1042"/>
      <c r="Y951" s="1042"/>
      <c r="Z951" s="1042"/>
      <c r="AA951" s="1042"/>
      <c r="AX951" s="1042"/>
    </row>
    <row r="952" spans="1:50">
      <c r="A952" s="1042"/>
      <c r="Y952" s="1042"/>
      <c r="Z952" s="1042"/>
      <c r="AA952" s="1042"/>
      <c r="AX952" s="1042"/>
    </row>
    <row r="953" spans="1:50">
      <c r="A953" s="1042"/>
      <c r="Y953" s="1042"/>
      <c r="Z953" s="1042"/>
      <c r="AA953" s="1042"/>
      <c r="AX953" s="1042"/>
    </row>
    <row r="954" spans="1:50">
      <c r="A954" s="1042"/>
      <c r="Y954" s="1042"/>
      <c r="Z954" s="1042"/>
      <c r="AA954" s="1042"/>
      <c r="AX954" s="1042"/>
    </row>
    <row r="955" spans="1:50">
      <c r="A955" s="1042"/>
      <c r="Y955" s="1042"/>
      <c r="Z955" s="1042"/>
      <c r="AA955" s="1042"/>
      <c r="AX955" s="1042"/>
    </row>
    <row r="956" spans="1:50">
      <c r="A956" s="1042"/>
      <c r="Y956" s="1042"/>
      <c r="Z956" s="1042"/>
      <c r="AA956" s="1042"/>
      <c r="AX956" s="1042"/>
    </row>
    <row r="957" spans="1:50">
      <c r="A957" s="1042"/>
      <c r="Y957" s="1042"/>
      <c r="Z957" s="1042"/>
      <c r="AA957" s="1042"/>
      <c r="AX957" s="1042"/>
    </row>
    <row r="958" spans="1:50">
      <c r="A958" s="1042"/>
      <c r="Y958" s="1042"/>
      <c r="Z958" s="1042"/>
      <c r="AA958" s="1042"/>
      <c r="AX958" s="1042"/>
    </row>
    <row r="959" spans="1:50">
      <c r="A959" s="1042"/>
      <c r="Y959" s="1042"/>
      <c r="Z959" s="1042"/>
      <c r="AA959" s="1042"/>
      <c r="AX959" s="1042"/>
    </row>
    <row r="960" spans="1:50">
      <c r="A960" s="1042"/>
      <c r="Y960" s="1042"/>
      <c r="Z960" s="1042"/>
      <c r="AA960" s="1042"/>
      <c r="AX960" s="1042"/>
    </row>
    <row r="961" spans="1:50">
      <c r="A961" s="1042"/>
      <c r="Y961" s="1042"/>
      <c r="Z961" s="1042"/>
      <c r="AA961" s="1042"/>
      <c r="AX961" s="1042"/>
    </row>
    <row r="962" spans="1:50">
      <c r="A962" s="1042"/>
      <c r="Y962" s="1042"/>
      <c r="Z962" s="1042"/>
      <c r="AA962" s="1042"/>
      <c r="AX962" s="1042"/>
    </row>
    <row r="963" spans="1:50">
      <c r="A963" s="1042"/>
      <c r="Y963" s="1042"/>
      <c r="Z963" s="1042"/>
      <c r="AA963" s="1042"/>
      <c r="AX963" s="1042"/>
    </row>
    <row r="964" spans="1:50">
      <c r="A964" s="1042"/>
      <c r="Y964" s="1042"/>
      <c r="Z964" s="1042"/>
      <c r="AA964" s="1042"/>
      <c r="AX964" s="1042"/>
    </row>
    <row r="965" spans="1:50">
      <c r="A965" s="1042"/>
      <c r="Y965" s="1042"/>
      <c r="Z965" s="1042"/>
      <c r="AA965" s="1042"/>
      <c r="AX965" s="1042"/>
    </row>
    <row r="966" spans="1:50">
      <c r="A966" s="1042"/>
      <c r="Y966" s="1042"/>
      <c r="Z966" s="1042"/>
      <c r="AA966" s="1042"/>
      <c r="AX966" s="1042"/>
    </row>
    <row r="967" spans="1:50">
      <c r="A967" s="1042"/>
      <c r="Y967" s="1042"/>
      <c r="Z967" s="1042"/>
      <c r="AA967" s="1042"/>
      <c r="AX967" s="1042"/>
    </row>
    <row r="968" spans="1:50">
      <c r="A968" s="1042"/>
      <c r="Y968" s="1042"/>
      <c r="Z968" s="1042"/>
      <c r="AA968" s="1042"/>
      <c r="AX968" s="1042"/>
    </row>
    <row r="969" spans="1:50">
      <c r="A969" s="1042"/>
      <c r="Y969" s="1042"/>
      <c r="Z969" s="1042"/>
      <c r="AA969" s="1042"/>
      <c r="AX969" s="1042"/>
    </row>
    <row r="970" spans="1:50">
      <c r="A970" s="1042"/>
      <c r="Y970" s="1042"/>
      <c r="Z970" s="1042"/>
      <c r="AA970" s="1042"/>
      <c r="AX970" s="1042"/>
    </row>
    <row r="971" spans="1:50">
      <c r="A971" s="1042"/>
      <c r="Y971" s="1042"/>
      <c r="Z971" s="1042"/>
      <c r="AA971" s="1042"/>
      <c r="AX971" s="1042"/>
    </row>
    <row r="972" spans="1:50">
      <c r="A972" s="1042"/>
      <c r="Y972" s="1042"/>
      <c r="Z972" s="1042"/>
      <c r="AA972" s="1042"/>
      <c r="AX972" s="1042"/>
    </row>
    <row r="973" spans="1:50">
      <c r="A973" s="1042"/>
      <c r="Y973" s="1042"/>
      <c r="Z973" s="1042"/>
      <c r="AA973" s="1042"/>
      <c r="AX973" s="1042"/>
    </row>
    <row r="974" spans="1:50">
      <c r="A974" s="1042"/>
      <c r="Y974" s="1042"/>
      <c r="Z974" s="1042"/>
      <c r="AA974" s="1042"/>
      <c r="AX974" s="1042"/>
    </row>
    <row r="975" spans="1:50">
      <c r="A975" s="1042"/>
      <c r="Y975" s="1042"/>
      <c r="Z975" s="1042"/>
      <c r="AA975" s="1042"/>
      <c r="AX975" s="1042"/>
    </row>
    <row r="976" spans="1:50">
      <c r="A976" s="1042"/>
      <c r="Y976" s="1042"/>
      <c r="Z976" s="1042"/>
      <c r="AA976" s="1042"/>
      <c r="AX976" s="1042"/>
    </row>
    <row r="977" spans="1:50">
      <c r="A977" s="1042"/>
      <c r="Y977" s="1042"/>
      <c r="Z977" s="1042"/>
      <c r="AA977" s="1042"/>
      <c r="AX977" s="1042"/>
    </row>
    <row r="978" spans="1:50">
      <c r="A978" s="1042"/>
      <c r="Y978" s="1042"/>
      <c r="Z978" s="1042"/>
      <c r="AA978" s="1042"/>
      <c r="AX978" s="1042"/>
    </row>
    <row r="979" spans="1:50">
      <c r="A979" s="1042"/>
      <c r="Y979" s="1042"/>
      <c r="Z979" s="1042"/>
      <c r="AA979" s="1042"/>
      <c r="AX979" s="1042"/>
    </row>
    <row r="980" spans="1:50">
      <c r="A980" s="1042"/>
      <c r="Y980" s="1042"/>
      <c r="Z980" s="1042"/>
      <c r="AA980" s="1042"/>
      <c r="AX980" s="1042"/>
    </row>
    <row r="981" spans="1:50">
      <c r="A981" s="1042"/>
      <c r="Y981" s="1042"/>
      <c r="Z981" s="1042"/>
      <c r="AA981" s="1042"/>
      <c r="AX981" s="1042"/>
    </row>
    <row r="982" spans="1:50">
      <c r="A982" s="1042"/>
      <c r="Y982" s="1042"/>
      <c r="Z982" s="1042"/>
      <c r="AA982" s="1042"/>
      <c r="AX982" s="1042"/>
    </row>
    <row r="983" spans="1:50">
      <c r="A983" s="1042"/>
      <c r="Y983" s="1042"/>
      <c r="Z983" s="1042"/>
      <c r="AA983" s="1042"/>
      <c r="AX983" s="1042"/>
    </row>
    <row r="984" spans="1:50">
      <c r="A984" s="1042"/>
      <c r="Y984" s="1042"/>
      <c r="Z984" s="1042"/>
      <c r="AA984" s="1042"/>
      <c r="AX984" s="1042"/>
    </row>
    <row r="985" spans="1:50">
      <c r="A985" s="1042"/>
      <c r="Y985" s="1042"/>
      <c r="Z985" s="1042"/>
      <c r="AA985" s="1042"/>
      <c r="AX985" s="1042"/>
    </row>
    <row r="986" spans="1:50">
      <c r="A986" s="1042"/>
      <c r="Y986" s="1042"/>
      <c r="Z986" s="1042"/>
      <c r="AA986" s="1042"/>
      <c r="AX986" s="1042"/>
    </row>
    <row r="987" spans="1:50">
      <c r="A987" s="1042"/>
      <c r="Y987" s="1042"/>
      <c r="Z987" s="1042"/>
      <c r="AA987" s="1042"/>
      <c r="AX987" s="1042"/>
    </row>
    <row r="988" spans="1:50">
      <c r="A988" s="1042"/>
      <c r="Y988" s="1042"/>
      <c r="Z988" s="1042"/>
      <c r="AA988" s="1042"/>
      <c r="AX988" s="1042"/>
    </row>
    <row r="989" spans="1:50">
      <c r="A989" s="1042"/>
      <c r="Y989" s="1042"/>
      <c r="Z989" s="1042"/>
      <c r="AA989" s="1042"/>
      <c r="AX989" s="1042"/>
    </row>
    <row r="990" spans="1:50">
      <c r="A990" s="1042"/>
      <c r="Y990" s="1042"/>
      <c r="Z990" s="1042"/>
      <c r="AA990" s="1042"/>
      <c r="AX990" s="1042"/>
    </row>
    <row r="991" spans="1:50">
      <c r="A991" s="1042"/>
      <c r="Y991" s="1042"/>
      <c r="Z991" s="1042"/>
      <c r="AA991" s="1042"/>
      <c r="AX991" s="1042"/>
    </row>
    <row r="992" spans="1:50">
      <c r="A992" s="1042"/>
      <c r="Y992" s="1042"/>
      <c r="Z992" s="1042"/>
      <c r="AA992" s="1042"/>
      <c r="AX992" s="1042"/>
    </row>
    <row r="993" spans="1:50">
      <c r="A993" s="1042"/>
      <c r="Y993" s="1042"/>
      <c r="Z993" s="1042"/>
      <c r="AA993" s="1042"/>
      <c r="AX993" s="1042"/>
    </row>
    <row r="994" spans="1:50">
      <c r="A994" s="1042"/>
      <c r="Y994" s="1042"/>
      <c r="Z994" s="1042"/>
      <c r="AA994" s="1042"/>
      <c r="AX994" s="1042"/>
    </row>
    <row r="995" spans="1:50">
      <c r="A995" s="1042"/>
      <c r="Y995" s="1042"/>
      <c r="Z995" s="1042"/>
      <c r="AA995" s="1042"/>
      <c r="AX995" s="1042"/>
    </row>
    <row r="996" spans="1:50">
      <c r="A996" s="1042"/>
      <c r="Y996" s="1042"/>
      <c r="Z996" s="1042"/>
      <c r="AA996" s="1042"/>
      <c r="AX996" s="1042"/>
    </row>
    <row r="997" spans="1:50">
      <c r="A997" s="1042"/>
      <c r="Y997" s="1042"/>
      <c r="Z997" s="1042"/>
      <c r="AA997" s="1042"/>
      <c r="AX997" s="1042"/>
    </row>
    <row r="998" spans="1:50">
      <c r="A998" s="1042"/>
      <c r="Y998" s="1042"/>
      <c r="Z998" s="1042"/>
      <c r="AA998" s="1042"/>
      <c r="AX998" s="1042"/>
    </row>
    <row r="999" spans="1:50">
      <c r="A999" s="1042"/>
      <c r="Y999" s="1042"/>
      <c r="Z999" s="1042"/>
      <c r="AA999" s="1042"/>
      <c r="AX999" s="1042"/>
    </row>
    <row r="1000" spans="1:50">
      <c r="A1000" s="1042"/>
      <c r="Y1000" s="1042"/>
      <c r="Z1000" s="1042"/>
      <c r="AA1000" s="1042"/>
      <c r="AX1000" s="1042"/>
    </row>
    <row r="1001" spans="1:50">
      <c r="A1001" s="1042"/>
      <c r="Y1001" s="1042"/>
      <c r="Z1001" s="1042"/>
      <c r="AA1001" s="1042"/>
      <c r="AX1001" s="1042"/>
    </row>
    <row r="1002" spans="1:50">
      <c r="A1002" s="1042"/>
      <c r="Y1002" s="1042"/>
      <c r="Z1002" s="1042"/>
      <c r="AA1002" s="1042"/>
      <c r="AX1002" s="1042"/>
    </row>
    <row r="1003" spans="1:50">
      <c r="A1003" s="1042"/>
      <c r="Y1003" s="1042"/>
      <c r="Z1003" s="1042"/>
      <c r="AA1003" s="1042"/>
      <c r="AX1003" s="1042"/>
    </row>
    <row r="1004" spans="1:50">
      <c r="A1004" s="1042"/>
      <c r="Y1004" s="1042"/>
      <c r="Z1004" s="1042"/>
      <c r="AA1004" s="1042"/>
      <c r="AX1004" s="1042"/>
    </row>
    <row r="1005" spans="1:50">
      <c r="A1005" s="1042"/>
      <c r="Y1005" s="1042"/>
      <c r="Z1005" s="1042"/>
      <c r="AA1005" s="1042"/>
      <c r="AX1005" s="1042"/>
    </row>
    <row r="1006" spans="1:50">
      <c r="A1006" s="1042"/>
      <c r="Y1006" s="1042"/>
      <c r="Z1006" s="1042"/>
      <c r="AA1006" s="1042"/>
      <c r="AX1006" s="1042"/>
    </row>
    <row r="1007" spans="1:50">
      <c r="A1007" s="1042"/>
      <c r="Y1007" s="1042"/>
      <c r="Z1007" s="1042"/>
      <c r="AA1007" s="1042"/>
      <c r="AX1007" s="1042"/>
    </row>
    <row r="1008" spans="1:50">
      <c r="A1008" s="1042"/>
      <c r="Y1008" s="1042"/>
      <c r="Z1008" s="1042"/>
      <c r="AA1008" s="1042"/>
      <c r="AX1008" s="1042"/>
    </row>
    <row r="1009" spans="1:50">
      <c r="A1009" s="1042"/>
      <c r="Y1009" s="1042"/>
      <c r="Z1009" s="1042"/>
      <c r="AA1009" s="1042"/>
      <c r="AX1009" s="1042"/>
    </row>
    <row r="1010" spans="1:50">
      <c r="A1010" s="1042"/>
      <c r="Y1010" s="1042"/>
      <c r="Z1010" s="1042"/>
      <c r="AA1010" s="1042"/>
      <c r="AX1010" s="1042"/>
    </row>
    <row r="1011" spans="1:50">
      <c r="A1011" s="1042"/>
      <c r="Y1011" s="1042"/>
      <c r="Z1011" s="1042"/>
      <c r="AA1011" s="1042"/>
      <c r="AX1011" s="1042"/>
    </row>
    <row r="1012" spans="1:50">
      <c r="A1012" s="1042"/>
      <c r="Y1012" s="1042"/>
      <c r="Z1012" s="1042"/>
      <c r="AA1012" s="1042"/>
      <c r="AX1012" s="1042"/>
    </row>
    <row r="1013" spans="1:50">
      <c r="A1013" s="1042"/>
      <c r="Y1013" s="1042"/>
      <c r="Z1013" s="1042"/>
      <c r="AA1013" s="1042"/>
      <c r="AX1013" s="1042"/>
    </row>
    <row r="1014" spans="1:50">
      <c r="A1014" s="1042"/>
      <c r="Y1014" s="1042"/>
      <c r="Z1014" s="1042"/>
      <c r="AA1014" s="1042"/>
      <c r="AX1014" s="1042"/>
    </row>
    <row r="1015" spans="1:50">
      <c r="A1015" s="1042"/>
      <c r="Y1015" s="1042"/>
      <c r="Z1015" s="1042"/>
      <c r="AA1015" s="1042"/>
      <c r="AX1015" s="1042"/>
    </row>
    <row r="1016" spans="1:50">
      <c r="A1016" s="1042"/>
      <c r="Y1016" s="1042"/>
      <c r="Z1016" s="1042"/>
      <c r="AA1016" s="1042"/>
      <c r="AX1016" s="1042"/>
    </row>
    <row r="1017" spans="1:50">
      <c r="A1017" s="1042"/>
      <c r="Y1017" s="1042"/>
      <c r="Z1017" s="1042"/>
      <c r="AA1017" s="1042"/>
      <c r="AX1017" s="1042"/>
    </row>
    <row r="1018" spans="1:50">
      <c r="A1018" s="1042"/>
      <c r="Y1018" s="1042"/>
      <c r="Z1018" s="1042"/>
      <c r="AA1018" s="1042"/>
      <c r="AX1018" s="1042"/>
    </row>
    <row r="1019" spans="1:50">
      <c r="A1019" s="1042"/>
      <c r="Y1019" s="1042"/>
      <c r="Z1019" s="1042"/>
      <c r="AA1019" s="1042"/>
      <c r="AX1019" s="1042"/>
    </row>
    <row r="1020" spans="1:50">
      <c r="A1020" s="1042"/>
      <c r="Y1020" s="1042"/>
      <c r="Z1020" s="1042"/>
      <c r="AA1020" s="1042"/>
      <c r="AX1020" s="1042"/>
    </row>
    <row r="1021" spans="1:50">
      <c r="A1021" s="1042"/>
      <c r="Y1021" s="1042"/>
      <c r="Z1021" s="1042"/>
      <c r="AA1021" s="1042"/>
      <c r="AX1021" s="1042"/>
    </row>
    <row r="1022" spans="1:50">
      <c r="A1022" s="1042"/>
      <c r="Y1022" s="1042"/>
      <c r="Z1022" s="1042"/>
      <c r="AA1022" s="1042"/>
      <c r="AX1022" s="1042"/>
    </row>
    <row r="1023" spans="1:50">
      <c r="A1023" s="1042"/>
      <c r="Y1023" s="1042"/>
      <c r="Z1023" s="1042"/>
      <c r="AA1023" s="1042"/>
      <c r="AX1023" s="1042"/>
    </row>
    <row r="1024" spans="1:50">
      <c r="A1024" s="1042"/>
      <c r="Y1024" s="1042"/>
      <c r="Z1024" s="1042"/>
      <c r="AA1024" s="1042"/>
      <c r="AX1024" s="1042"/>
    </row>
    <row r="1025" spans="1:50">
      <c r="A1025" s="1042"/>
      <c r="Y1025" s="1042"/>
      <c r="Z1025" s="1042"/>
      <c r="AA1025" s="1042"/>
      <c r="AX1025" s="1042"/>
    </row>
    <row r="1026" spans="1:50">
      <c r="A1026" s="1042"/>
      <c r="Y1026" s="1042"/>
      <c r="Z1026" s="1042"/>
      <c r="AA1026" s="1042"/>
      <c r="AX1026" s="1042"/>
    </row>
    <row r="1027" spans="1:50">
      <c r="A1027" s="1042"/>
      <c r="Y1027" s="1042"/>
      <c r="Z1027" s="1042"/>
      <c r="AA1027" s="1042"/>
      <c r="AX1027" s="1042"/>
    </row>
    <row r="1028" spans="1:50">
      <c r="A1028" s="1042"/>
      <c r="Y1028" s="1042"/>
      <c r="Z1028" s="1042"/>
      <c r="AA1028" s="1042"/>
      <c r="AX1028" s="1042"/>
    </row>
    <row r="1029" spans="1:50">
      <c r="A1029" s="1042"/>
      <c r="Y1029" s="1042"/>
      <c r="Z1029" s="1042"/>
      <c r="AA1029" s="1042"/>
      <c r="AX1029" s="1042"/>
    </row>
    <row r="1030" spans="1:50">
      <c r="A1030" s="1042"/>
      <c r="Y1030" s="1042"/>
      <c r="Z1030" s="1042"/>
      <c r="AA1030" s="1042"/>
      <c r="AX1030" s="1042"/>
    </row>
    <row r="1031" spans="1:50">
      <c r="A1031" s="1042"/>
      <c r="Y1031" s="1042"/>
      <c r="Z1031" s="1042"/>
      <c r="AA1031" s="1042"/>
      <c r="AX1031" s="1042"/>
    </row>
    <row r="1032" spans="1:50">
      <c r="A1032" s="1042"/>
      <c r="Y1032" s="1042"/>
      <c r="Z1032" s="1042"/>
      <c r="AA1032" s="1042"/>
      <c r="AX1032" s="1042"/>
    </row>
    <row r="1033" spans="1:50">
      <c r="A1033" s="1042"/>
      <c r="Y1033" s="1042"/>
      <c r="Z1033" s="1042"/>
      <c r="AA1033" s="1042"/>
      <c r="AX1033" s="1042"/>
    </row>
    <row r="1034" spans="1:50">
      <c r="A1034" s="1042"/>
      <c r="Y1034" s="1042"/>
      <c r="Z1034" s="1042"/>
      <c r="AA1034" s="1042"/>
      <c r="AX1034" s="1042"/>
    </row>
    <row r="1035" spans="1:50">
      <c r="A1035" s="1042"/>
      <c r="Y1035" s="1042"/>
      <c r="Z1035" s="1042"/>
      <c r="AA1035" s="1042"/>
      <c r="AX1035" s="1042"/>
    </row>
    <row r="1036" spans="1:50">
      <c r="A1036" s="1042"/>
      <c r="Y1036" s="1042"/>
      <c r="Z1036" s="1042"/>
      <c r="AA1036" s="1042"/>
      <c r="AX1036" s="1042"/>
    </row>
    <row r="1037" spans="1:50">
      <c r="A1037" s="1042"/>
      <c r="Y1037" s="1042"/>
      <c r="Z1037" s="1042"/>
      <c r="AA1037" s="1042"/>
      <c r="AX1037" s="1042"/>
    </row>
    <row r="1038" spans="1:50">
      <c r="A1038" s="1042"/>
      <c r="Y1038" s="1042"/>
      <c r="Z1038" s="1042"/>
      <c r="AA1038" s="1042"/>
      <c r="AX1038" s="1042"/>
    </row>
    <row r="1039" spans="1:50">
      <c r="A1039" s="1042"/>
      <c r="Y1039" s="1042"/>
      <c r="Z1039" s="1042"/>
      <c r="AA1039" s="1042"/>
      <c r="AX1039" s="1042"/>
    </row>
    <row r="1040" spans="1:50">
      <c r="A1040" s="1042"/>
      <c r="Y1040" s="1042"/>
      <c r="Z1040" s="1042"/>
      <c r="AA1040" s="1042"/>
      <c r="AX1040" s="1042"/>
    </row>
    <row r="1041" spans="1:50">
      <c r="A1041" s="1042"/>
      <c r="Y1041" s="1042"/>
      <c r="Z1041" s="1042"/>
      <c r="AA1041" s="1042"/>
      <c r="AX1041" s="1042"/>
    </row>
    <row r="1042" spans="1:50">
      <c r="A1042" s="1042"/>
      <c r="Y1042" s="1042"/>
      <c r="Z1042" s="1042"/>
      <c r="AA1042" s="1042"/>
      <c r="AX1042" s="1042"/>
    </row>
    <row r="1043" spans="1:50">
      <c r="A1043" s="1042"/>
      <c r="Y1043" s="1042"/>
      <c r="Z1043" s="1042"/>
      <c r="AA1043" s="1042"/>
      <c r="AX1043" s="1042"/>
    </row>
    <row r="1044" spans="1:50">
      <c r="A1044" s="1042"/>
      <c r="Y1044" s="1042"/>
      <c r="Z1044" s="1042"/>
      <c r="AA1044" s="1042"/>
      <c r="AX1044" s="1042"/>
    </row>
    <row r="1045" spans="1:50">
      <c r="A1045" s="1042"/>
      <c r="Y1045" s="1042"/>
      <c r="Z1045" s="1042"/>
      <c r="AA1045" s="1042"/>
      <c r="AX1045" s="1042"/>
    </row>
    <row r="1046" spans="1:50">
      <c r="A1046" s="1042"/>
      <c r="Y1046" s="1042"/>
      <c r="Z1046" s="1042"/>
      <c r="AA1046" s="1042"/>
      <c r="AX1046" s="1042"/>
    </row>
    <row r="1047" spans="1:50">
      <c r="A1047" s="1042"/>
      <c r="Y1047" s="1042"/>
      <c r="Z1047" s="1042"/>
      <c r="AA1047" s="1042"/>
      <c r="AX1047" s="1042"/>
    </row>
    <row r="1048" spans="1:50">
      <c r="A1048" s="1042"/>
      <c r="Y1048" s="1042"/>
      <c r="Z1048" s="1042"/>
      <c r="AA1048" s="1042"/>
      <c r="AX1048" s="1042"/>
    </row>
    <row r="1049" spans="1:50">
      <c r="A1049" s="1042"/>
      <c r="Y1049" s="1042"/>
      <c r="Z1049" s="1042"/>
      <c r="AA1049" s="1042"/>
      <c r="AX1049" s="1042"/>
    </row>
    <row r="1050" spans="1:50">
      <c r="A1050" s="1042"/>
      <c r="Y1050" s="1042"/>
      <c r="Z1050" s="1042"/>
      <c r="AA1050" s="1042"/>
      <c r="AX1050" s="1042"/>
    </row>
    <row r="1051" spans="1:50">
      <c r="A1051" s="1042"/>
      <c r="Y1051" s="1042"/>
      <c r="Z1051" s="1042"/>
      <c r="AA1051" s="1042"/>
      <c r="AX1051" s="1042"/>
    </row>
    <row r="1052" spans="1:50">
      <c r="A1052" s="1042"/>
      <c r="Y1052" s="1042"/>
      <c r="Z1052" s="1042"/>
      <c r="AA1052" s="1042"/>
      <c r="AX1052" s="1042"/>
    </row>
    <row r="1053" spans="1:50">
      <c r="A1053" s="1042"/>
      <c r="Y1053" s="1042"/>
      <c r="Z1053" s="1042"/>
      <c r="AA1053" s="1042"/>
      <c r="AX1053" s="1042"/>
    </row>
    <row r="1054" spans="1:50">
      <c r="A1054" s="1042"/>
      <c r="Y1054" s="1042"/>
      <c r="Z1054" s="1042"/>
      <c r="AA1054" s="1042"/>
      <c r="AX1054" s="1042"/>
    </row>
    <row r="1055" spans="1:50">
      <c r="A1055" s="1042"/>
      <c r="Y1055" s="1042"/>
      <c r="Z1055" s="1042"/>
      <c r="AA1055" s="1042"/>
      <c r="AX1055" s="1042"/>
    </row>
    <row r="1056" spans="1:50">
      <c r="A1056" s="1042"/>
      <c r="Y1056" s="1042"/>
      <c r="Z1056" s="1042"/>
      <c r="AA1056" s="1042"/>
      <c r="AX1056" s="1042"/>
    </row>
    <row r="1057" spans="1:50">
      <c r="A1057" s="1042"/>
      <c r="Y1057" s="1042"/>
      <c r="Z1057" s="1042"/>
      <c r="AA1057" s="1042"/>
      <c r="AX1057" s="1042"/>
    </row>
    <row r="1058" spans="1:50">
      <c r="A1058" s="1042"/>
      <c r="Y1058" s="1042"/>
      <c r="Z1058" s="1042"/>
      <c r="AA1058" s="1042"/>
      <c r="AX1058" s="1042"/>
    </row>
    <row r="1059" spans="1:50">
      <c r="A1059" s="1042"/>
      <c r="Y1059" s="1042"/>
      <c r="Z1059" s="1042"/>
      <c r="AA1059" s="1042"/>
      <c r="AX1059" s="1042"/>
    </row>
    <row r="1060" spans="1:50">
      <c r="A1060" s="1042"/>
      <c r="Y1060" s="1042"/>
      <c r="Z1060" s="1042"/>
      <c r="AA1060" s="1042"/>
      <c r="AX1060" s="1042"/>
    </row>
    <row r="1061" spans="1:50">
      <c r="A1061" s="1042"/>
      <c r="Y1061" s="1042"/>
      <c r="Z1061" s="1042"/>
      <c r="AA1061" s="1042"/>
      <c r="AX1061" s="1042"/>
    </row>
    <row r="1062" spans="1:50">
      <c r="A1062" s="1042"/>
      <c r="Y1062" s="1042"/>
      <c r="Z1062" s="1042"/>
      <c r="AA1062" s="1042"/>
      <c r="AX1062" s="1042"/>
    </row>
    <row r="1063" spans="1:50">
      <c r="A1063" s="1042"/>
      <c r="Y1063" s="1042"/>
      <c r="Z1063" s="1042"/>
      <c r="AA1063" s="1042"/>
      <c r="AX1063" s="1042"/>
    </row>
    <row r="1064" spans="1:50">
      <c r="A1064" s="1042"/>
      <c r="Y1064" s="1042"/>
      <c r="Z1064" s="1042"/>
      <c r="AA1064" s="1042"/>
      <c r="AX1064" s="1042"/>
    </row>
    <row r="1065" spans="1:50">
      <c r="A1065" s="1042"/>
      <c r="Y1065" s="1042"/>
      <c r="Z1065" s="1042"/>
      <c r="AA1065" s="1042"/>
      <c r="AX1065" s="1042"/>
    </row>
    <row r="1066" spans="1:50">
      <c r="A1066" s="1042"/>
      <c r="Y1066" s="1042"/>
      <c r="Z1066" s="1042"/>
      <c r="AA1066" s="1042"/>
      <c r="AX1066" s="1042"/>
    </row>
    <row r="1067" spans="1:50">
      <c r="A1067" s="1042"/>
      <c r="Y1067" s="1042"/>
      <c r="Z1067" s="1042"/>
      <c r="AA1067" s="1042"/>
      <c r="AX1067" s="1042"/>
    </row>
    <row r="1068" spans="1:50">
      <c r="A1068" s="1042"/>
      <c r="Y1068" s="1042"/>
      <c r="Z1068" s="1042"/>
      <c r="AA1068" s="1042"/>
      <c r="AX1068" s="1042"/>
    </row>
    <row r="1069" spans="1:50">
      <c r="A1069" s="1042"/>
      <c r="Y1069" s="1042"/>
      <c r="Z1069" s="1042"/>
      <c r="AA1069" s="1042"/>
      <c r="AX1069" s="1042"/>
    </row>
    <row r="1070" spans="1:50">
      <c r="A1070" s="1042"/>
      <c r="Y1070" s="1042"/>
      <c r="Z1070" s="1042"/>
      <c r="AA1070" s="1042"/>
      <c r="AX1070" s="1042"/>
    </row>
    <row r="1071" spans="1:50">
      <c r="A1071" s="1042"/>
      <c r="Y1071" s="1042"/>
      <c r="Z1071" s="1042"/>
      <c r="AA1071" s="1042"/>
      <c r="AX1071" s="1042"/>
    </row>
    <row r="1072" spans="1:50">
      <c r="A1072" s="1042"/>
      <c r="Y1072" s="1042"/>
      <c r="Z1072" s="1042"/>
      <c r="AA1072" s="1042"/>
      <c r="AX1072" s="1042"/>
    </row>
    <row r="1073" spans="1:50">
      <c r="A1073" s="1042"/>
      <c r="Y1073" s="1042"/>
      <c r="Z1073" s="1042"/>
      <c r="AA1073" s="1042"/>
      <c r="AX1073" s="1042"/>
    </row>
    <row r="1074" spans="1:50">
      <c r="A1074" s="1042"/>
      <c r="Y1074" s="1042"/>
      <c r="Z1074" s="1042"/>
      <c r="AA1074" s="1042"/>
      <c r="AX1074" s="1042"/>
    </row>
    <row r="1075" spans="1:50">
      <c r="A1075" s="1042"/>
      <c r="Y1075" s="1042"/>
      <c r="Z1075" s="1042"/>
      <c r="AA1075" s="1042"/>
      <c r="AX1075" s="1042"/>
    </row>
    <row r="1076" spans="1:50">
      <c r="A1076" s="1042"/>
      <c r="Y1076" s="1042"/>
      <c r="Z1076" s="1042"/>
      <c r="AA1076" s="1042"/>
      <c r="AX1076" s="1042"/>
    </row>
    <row r="1077" spans="1:50">
      <c r="A1077" s="1042"/>
      <c r="Y1077" s="1042"/>
      <c r="Z1077" s="1042"/>
      <c r="AA1077" s="1042"/>
      <c r="AX1077" s="1042"/>
    </row>
    <row r="1078" spans="1:50">
      <c r="A1078" s="1042"/>
      <c r="Y1078" s="1042"/>
      <c r="Z1078" s="1042"/>
      <c r="AA1078" s="1042"/>
      <c r="AX1078" s="1042"/>
    </row>
    <row r="1079" spans="1:50">
      <c r="A1079" s="1042"/>
      <c r="Y1079" s="1042"/>
      <c r="Z1079" s="1042"/>
      <c r="AA1079" s="1042"/>
      <c r="AX1079" s="1042"/>
    </row>
    <row r="1080" spans="1:50">
      <c r="A1080" s="1042"/>
      <c r="Y1080" s="1042"/>
      <c r="Z1080" s="1042"/>
      <c r="AA1080" s="1042"/>
      <c r="AX1080" s="1042"/>
    </row>
    <row r="1081" spans="1:50">
      <c r="A1081" s="1042"/>
      <c r="Y1081" s="1042"/>
      <c r="Z1081" s="1042"/>
      <c r="AA1081" s="1042"/>
      <c r="AX1081" s="1042"/>
    </row>
    <row r="1082" spans="1:50">
      <c r="A1082" s="1042"/>
      <c r="Y1082" s="1042"/>
      <c r="Z1082" s="1042"/>
      <c r="AA1082" s="1042"/>
      <c r="AX1082" s="1042"/>
    </row>
    <row r="1083" spans="1:50">
      <c r="A1083" s="1042"/>
      <c r="Y1083" s="1042"/>
      <c r="Z1083" s="1042"/>
      <c r="AA1083" s="1042"/>
      <c r="AX1083" s="1042"/>
    </row>
    <row r="1084" spans="1:50">
      <c r="A1084" s="1042"/>
      <c r="Y1084" s="1042"/>
      <c r="Z1084" s="1042"/>
      <c r="AA1084" s="1042"/>
      <c r="AX1084" s="1042"/>
    </row>
    <row r="1085" spans="1:50">
      <c r="A1085" s="1042"/>
      <c r="Y1085" s="1042"/>
      <c r="Z1085" s="1042"/>
      <c r="AA1085" s="1042"/>
      <c r="AX1085" s="1042"/>
    </row>
    <row r="1086" spans="1:50">
      <c r="A1086" s="1042"/>
      <c r="Y1086" s="1042"/>
      <c r="Z1086" s="1042"/>
      <c r="AA1086" s="1042"/>
      <c r="AX1086" s="1042"/>
    </row>
    <row r="1087" spans="1:50">
      <c r="A1087" s="1042"/>
      <c r="Y1087" s="1042"/>
      <c r="Z1087" s="1042"/>
      <c r="AA1087" s="1042"/>
      <c r="AX1087" s="1042"/>
    </row>
    <row r="1088" spans="1:50">
      <c r="A1088" s="1042"/>
      <c r="Y1088" s="1042"/>
      <c r="Z1088" s="1042"/>
      <c r="AA1088" s="1042"/>
      <c r="AX1088" s="1042"/>
    </row>
    <row r="1089" spans="1:50">
      <c r="A1089" s="1042"/>
      <c r="Y1089" s="1042"/>
      <c r="Z1089" s="1042"/>
      <c r="AA1089" s="1042"/>
      <c r="AX1089" s="1042"/>
    </row>
    <row r="1090" spans="1:50">
      <c r="A1090" s="1042"/>
      <c r="Y1090" s="1042"/>
      <c r="Z1090" s="1042"/>
      <c r="AA1090" s="1042"/>
      <c r="AX1090" s="1042"/>
    </row>
    <row r="1091" spans="1:50">
      <c r="A1091" s="1042"/>
      <c r="Y1091" s="1042"/>
      <c r="Z1091" s="1042"/>
      <c r="AA1091" s="1042"/>
      <c r="AX1091" s="1042"/>
    </row>
    <row r="1092" spans="1:50">
      <c r="A1092" s="1042"/>
      <c r="Y1092" s="1042"/>
      <c r="Z1092" s="1042"/>
      <c r="AA1092" s="1042"/>
      <c r="AX1092" s="1042"/>
    </row>
    <row r="1093" spans="1:50">
      <c r="A1093" s="1042"/>
      <c r="Y1093" s="1042"/>
      <c r="Z1093" s="1042"/>
      <c r="AA1093" s="1042"/>
      <c r="AX1093" s="1042"/>
    </row>
    <row r="1094" spans="1:50">
      <c r="A1094" s="1042"/>
      <c r="Y1094" s="1042"/>
      <c r="Z1094" s="1042"/>
      <c r="AA1094" s="1042"/>
      <c r="AX1094" s="1042"/>
    </row>
    <row r="1095" spans="1:50">
      <c r="A1095" s="1042"/>
      <c r="Y1095" s="1042"/>
      <c r="Z1095" s="1042"/>
      <c r="AA1095" s="1042"/>
      <c r="AX1095" s="1042"/>
    </row>
    <row r="1096" spans="1:50">
      <c r="A1096" s="1042"/>
      <c r="Y1096" s="1042"/>
      <c r="Z1096" s="1042"/>
      <c r="AA1096" s="1042"/>
      <c r="AX1096" s="1042"/>
    </row>
    <row r="1097" spans="1:50">
      <c r="A1097" s="1042"/>
      <c r="Y1097" s="1042"/>
      <c r="Z1097" s="1042"/>
      <c r="AA1097" s="1042"/>
      <c r="AX1097" s="1042"/>
    </row>
    <row r="1098" spans="1:50">
      <c r="A1098" s="1042"/>
      <c r="Y1098" s="1042"/>
      <c r="Z1098" s="1042"/>
      <c r="AA1098" s="1042"/>
      <c r="AX1098" s="1042"/>
    </row>
    <row r="1099" spans="1:50">
      <c r="A1099" s="1042"/>
      <c r="Y1099" s="1042"/>
      <c r="Z1099" s="1042"/>
      <c r="AA1099" s="1042"/>
      <c r="AX1099" s="1042"/>
    </row>
    <row r="1100" spans="1:50">
      <c r="A1100" s="1042"/>
      <c r="Y1100" s="1042"/>
      <c r="Z1100" s="1042"/>
      <c r="AA1100" s="1042"/>
      <c r="AX1100" s="1042"/>
    </row>
    <row r="1101" spans="1:50">
      <c r="A1101" s="1042"/>
      <c r="Y1101" s="1042"/>
      <c r="Z1101" s="1042"/>
      <c r="AA1101" s="1042"/>
      <c r="AX1101" s="1042"/>
    </row>
    <row r="1102" spans="1:50">
      <c r="A1102" s="1042"/>
      <c r="Y1102" s="1042"/>
      <c r="Z1102" s="1042"/>
      <c r="AA1102" s="1042"/>
      <c r="AX1102" s="1042"/>
    </row>
    <row r="1103" spans="1:50">
      <c r="A1103" s="1042"/>
      <c r="Y1103" s="1042"/>
      <c r="Z1103" s="1042"/>
      <c r="AA1103" s="1042"/>
      <c r="AX1103" s="1042"/>
    </row>
    <row r="1104" spans="1:50">
      <c r="A1104" s="1042"/>
      <c r="Y1104" s="1042"/>
      <c r="Z1104" s="1042"/>
      <c r="AA1104" s="1042"/>
      <c r="AX1104" s="1042"/>
    </row>
    <row r="1105" spans="1:50">
      <c r="A1105" s="1042"/>
      <c r="Y1105" s="1042"/>
      <c r="Z1105" s="1042"/>
      <c r="AA1105" s="1042"/>
      <c r="AX1105" s="1042"/>
    </row>
    <row r="1106" spans="1:50">
      <c r="A1106" s="1042"/>
      <c r="Y1106" s="1042"/>
      <c r="Z1106" s="1042"/>
      <c r="AA1106" s="1042"/>
      <c r="AX1106" s="1042"/>
    </row>
    <row r="1107" spans="1:50">
      <c r="A1107" s="1042"/>
      <c r="Y1107" s="1042"/>
      <c r="Z1107" s="1042"/>
      <c r="AA1107" s="1042"/>
      <c r="AX1107" s="1042"/>
    </row>
    <row r="1108" spans="1:50">
      <c r="A1108" s="1042"/>
      <c r="Y1108" s="1042"/>
      <c r="Z1108" s="1042"/>
      <c r="AA1108" s="1042"/>
      <c r="AX1108" s="1042"/>
    </row>
    <row r="1109" spans="1:50">
      <c r="A1109" s="1042"/>
      <c r="Y1109" s="1042"/>
      <c r="Z1109" s="1042"/>
      <c r="AA1109" s="1042"/>
      <c r="AX1109" s="1042"/>
    </row>
    <row r="1110" spans="1:50">
      <c r="A1110" s="1042"/>
      <c r="Y1110" s="1042"/>
      <c r="Z1110" s="1042"/>
      <c r="AA1110" s="1042"/>
      <c r="AX1110" s="1042"/>
    </row>
    <row r="1111" spans="1:50">
      <c r="A1111" s="1042"/>
      <c r="Y1111" s="1042"/>
      <c r="Z1111" s="1042"/>
      <c r="AA1111" s="1042"/>
      <c r="AX1111" s="1042"/>
    </row>
    <row r="1112" spans="1:50">
      <c r="A1112" s="1042"/>
      <c r="Y1112" s="1042"/>
      <c r="Z1112" s="1042"/>
      <c r="AA1112" s="1042"/>
      <c r="AX1112" s="1042"/>
    </row>
    <row r="1113" spans="1:50">
      <c r="A1113" s="1042"/>
      <c r="Y1113" s="1042"/>
      <c r="Z1113" s="1042"/>
      <c r="AA1113" s="1042"/>
      <c r="AX1113" s="1042"/>
    </row>
    <row r="1114" spans="1:50">
      <c r="A1114" s="1042"/>
      <c r="Y1114" s="1042"/>
      <c r="Z1114" s="1042"/>
      <c r="AA1114" s="1042"/>
      <c r="AX1114" s="1042"/>
    </row>
    <row r="1115" spans="1:50">
      <c r="A1115" s="1042"/>
      <c r="Y1115" s="1042"/>
      <c r="Z1115" s="1042"/>
      <c r="AA1115" s="1042"/>
      <c r="AX1115" s="1042"/>
    </row>
    <row r="1116" spans="1:50">
      <c r="A1116" s="1042"/>
      <c r="Y1116" s="1042"/>
      <c r="Z1116" s="1042"/>
      <c r="AA1116" s="1042"/>
      <c r="AX1116" s="1042"/>
    </row>
    <row r="1117" spans="1:50">
      <c r="A1117" s="1042"/>
      <c r="Y1117" s="1042"/>
      <c r="Z1117" s="1042"/>
      <c r="AA1117" s="1042"/>
      <c r="AX1117" s="1042"/>
    </row>
    <row r="1118" spans="1:50">
      <c r="A1118" s="1042"/>
      <c r="Y1118" s="1042"/>
      <c r="Z1118" s="1042"/>
      <c r="AA1118" s="1042"/>
      <c r="AX1118" s="1042"/>
    </row>
    <row r="1119" spans="1:50">
      <c r="A1119" s="1042"/>
      <c r="Y1119" s="1042"/>
      <c r="Z1119" s="1042"/>
      <c r="AA1119" s="1042"/>
      <c r="AX1119" s="1042"/>
    </row>
    <row r="1120" spans="1:50">
      <c r="A1120" s="1042"/>
      <c r="Y1120" s="1042"/>
      <c r="Z1120" s="1042"/>
      <c r="AA1120" s="1042"/>
      <c r="AX1120" s="1042"/>
    </row>
    <row r="1121" spans="1:50">
      <c r="A1121" s="1042"/>
      <c r="Y1121" s="1042"/>
      <c r="Z1121" s="1042"/>
      <c r="AA1121" s="1042"/>
      <c r="AX1121" s="1042"/>
    </row>
    <row r="1122" spans="1:50">
      <c r="A1122" s="1042"/>
      <c r="Y1122" s="1042"/>
      <c r="Z1122" s="1042"/>
      <c r="AA1122" s="1042"/>
      <c r="AX1122" s="1042"/>
    </row>
    <row r="1123" spans="1:50">
      <c r="A1123" s="1042"/>
      <c r="Y1123" s="1042"/>
      <c r="Z1123" s="1042"/>
      <c r="AA1123" s="1042"/>
      <c r="AX1123" s="1042"/>
    </row>
    <row r="1124" spans="1:50">
      <c r="A1124" s="1042"/>
      <c r="Y1124" s="1042"/>
      <c r="Z1124" s="1042"/>
      <c r="AA1124" s="1042"/>
      <c r="AX1124" s="1042"/>
    </row>
    <row r="1125" spans="1:50">
      <c r="A1125" s="1042"/>
      <c r="Y1125" s="1042"/>
      <c r="Z1125" s="1042"/>
      <c r="AA1125" s="1042"/>
      <c r="AX1125" s="1042"/>
    </row>
    <row r="1126" spans="1:50">
      <c r="A1126" s="1042"/>
      <c r="Y1126" s="1042"/>
      <c r="Z1126" s="1042"/>
      <c r="AA1126" s="1042"/>
      <c r="AX1126" s="1042"/>
    </row>
    <row r="1127" spans="1:50">
      <c r="A1127" s="1042"/>
      <c r="Y1127" s="1042"/>
      <c r="Z1127" s="1042"/>
      <c r="AA1127" s="1042"/>
      <c r="AX1127" s="1042"/>
    </row>
    <row r="1128" spans="1:50">
      <c r="A1128" s="1042"/>
      <c r="Y1128" s="1042"/>
      <c r="Z1128" s="1042"/>
      <c r="AA1128" s="1042"/>
      <c r="AX1128" s="1042"/>
    </row>
    <row r="1129" spans="1:50">
      <c r="A1129" s="1042"/>
      <c r="Y1129" s="1042"/>
      <c r="Z1129" s="1042"/>
      <c r="AA1129" s="1042"/>
      <c r="AX1129" s="1042"/>
    </row>
    <row r="1130" spans="1:50">
      <c r="A1130" s="1042"/>
      <c r="Y1130" s="1042"/>
      <c r="Z1130" s="1042"/>
      <c r="AA1130" s="1042"/>
      <c r="AX1130" s="1042"/>
    </row>
    <row r="1131" spans="1:50">
      <c r="A1131" s="1042"/>
      <c r="Y1131" s="1042"/>
      <c r="Z1131" s="1042"/>
      <c r="AA1131" s="1042"/>
      <c r="AX1131" s="1042"/>
    </row>
    <row r="1132" spans="1:50">
      <c r="A1132" s="1042"/>
      <c r="Y1132" s="1042"/>
      <c r="Z1132" s="1042"/>
      <c r="AA1132" s="1042"/>
      <c r="AX1132" s="1042"/>
    </row>
    <row r="1133" spans="1:50">
      <c r="A1133" s="1042"/>
      <c r="Y1133" s="1042"/>
      <c r="Z1133" s="1042"/>
      <c r="AA1133" s="1042"/>
      <c r="AX1133" s="1042"/>
    </row>
    <row r="1134" spans="1:50">
      <c r="A1134" s="1042"/>
      <c r="Y1134" s="1042"/>
      <c r="Z1134" s="1042"/>
      <c r="AA1134" s="1042"/>
      <c r="AX1134" s="1042"/>
    </row>
    <row r="1135" spans="1:50">
      <c r="A1135" s="1042"/>
      <c r="Y1135" s="1042"/>
      <c r="Z1135" s="1042"/>
      <c r="AA1135" s="1042"/>
      <c r="AX1135" s="1042"/>
    </row>
    <row r="1136" spans="1:50">
      <c r="A1136" s="1042"/>
      <c r="Y1136" s="1042"/>
      <c r="Z1136" s="1042"/>
      <c r="AA1136" s="1042"/>
      <c r="AX1136" s="1042"/>
    </row>
    <row r="1137" spans="1:50">
      <c r="A1137" s="1042"/>
      <c r="Y1137" s="1042"/>
      <c r="Z1137" s="1042"/>
      <c r="AA1137" s="1042"/>
      <c r="AX1137" s="1042"/>
    </row>
    <row r="1138" spans="1:50">
      <c r="A1138" s="1042"/>
      <c r="Y1138" s="1042"/>
      <c r="Z1138" s="1042"/>
      <c r="AA1138" s="1042"/>
      <c r="AX1138" s="1042"/>
    </row>
    <row r="1139" spans="1:50">
      <c r="A1139" s="1042"/>
      <c r="Y1139" s="1042"/>
      <c r="Z1139" s="1042"/>
      <c r="AA1139" s="1042"/>
      <c r="AX1139" s="1042"/>
    </row>
    <row r="1140" spans="1:50">
      <c r="A1140" s="1042"/>
      <c r="Y1140" s="1042"/>
      <c r="Z1140" s="1042"/>
      <c r="AA1140" s="1042"/>
      <c r="AX1140" s="1042"/>
    </row>
    <row r="1141" spans="1:50">
      <c r="A1141" s="1042"/>
      <c r="Y1141" s="1042"/>
      <c r="Z1141" s="1042"/>
      <c r="AA1141" s="1042"/>
      <c r="AX1141" s="1042"/>
    </row>
    <row r="1142" spans="1:50">
      <c r="A1142" s="1042"/>
      <c r="Y1142" s="1042"/>
      <c r="Z1142" s="1042"/>
      <c r="AA1142" s="1042"/>
      <c r="AX1142" s="1042"/>
    </row>
    <row r="1143" spans="1:50">
      <c r="A1143" s="1042"/>
      <c r="Y1143" s="1042"/>
      <c r="Z1143" s="1042"/>
      <c r="AA1143" s="1042"/>
      <c r="AX1143" s="1042"/>
    </row>
    <row r="1144" spans="1:50">
      <c r="A1144" s="1042"/>
      <c r="Y1144" s="1042"/>
      <c r="Z1144" s="1042"/>
      <c r="AA1144" s="1042"/>
      <c r="AX1144" s="1042"/>
    </row>
    <row r="1145" spans="1:50">
      <c r="A1145" s="1042"/>
      <c r="Y1145" s="1042"/>
      <c r="Z1145" s="1042"/>
      <c r="AA1145" s="1042"/>
      <c r="AX1145" s="1042"/>
    </row>
    <row r="1146" spans="1:50">
      <c r="A1146" s="1042"/>
      <c r="Y1146" s="1042"/>
      <c r="Z1146" s="1042"/>
      <c r="AA1146" s="1042"/>
      <c r="AX1146" s="1042"/>
    </row>
    <row r="1147" spans="1:50">
      <c r="A1147" s="1042"/>
      <c r="Y1147" s="1042"/>
      <c r="Z1147" s="1042"/>
      <c r="AA1147" s="1042"/>
      <c r="AX1147" s="1042"/>
    </row>
    <row r="1148" spans="1:50">
      <c r="A1148" s="1042"/>
      <c r="Y1148" s="1042"/>
      <c r="Z1148" s="1042"/>
      <c r="AA1148" s="1042"/>
      <c r="AX1148" s="1042"/>
    </row>
    <row r="1149" spans="1:50">
      <c r="A1149" s="1042"/>
      <c r="Y1149" s="1042"/>
      <c r="Z1149" s="1042"/>
      <c r="AA1149" s="1042"/>
      <c r="AX1149" s="1042"/>
    </row>
    <row r="1150" spans="1:50">
      <c r="A1150" s="1042"/>
      <c r="Y1150" s="1042"/>
      <c r="Z1150" s="1042"/>
      <c r="AA1150" s="1042"/>
      <c r="AX1150" s="1042"/>
    </row>
    <row r="1151" spans="1:50">
      <c r="A1151" s="1042"/>
      <c r="Y1151" s="1042"/>
      <c r="Z1151" s="1042"/>
      <c r="AA1151" s="1042"/>
      <c r="AX1151" s="1042"/>
    </row>
    <row r="1152" spans="1:50">
      <c r="A1152" s="1042"/>
      <c r="Y1152" s="1042"/>
      <c r="Z1152" s="1042"/>
      <c r="AA1152" s="1042"/>
      <c r="AX1152" s="1042"/>
    </row>
    <row r="1153" spans="1:50">
      <c r="A1153" s="1042"/>
      <c r="Y1153" s="1042"/>
      <c r="Z1153" s="1042"/>
      <c r="AA1153" s="1042"/>
      <c r="AX1153" s="1042"/>
    </row>
    <row r="1154" spans="1:50">
      <c r="A1154" s="1042"/>
      <c r="Y1154" s="1042"/>
      <c r="Z1154" s="1042"/>
      <c r="AA1154" s="1042"/>
      <c r="AX1154" s="1042"/>
    </row>
    <row r="1155" spans="1:50">
      <c r="A1155" s="1042"/>
      <c r="Y1155" s="1042"/>
      <c r="Z1155" s="1042"/>
      <c r="AA1155" s="1042"/>
      <c r="AX1155" s="1042"/>
    </row>
    <row r="1156" spans="1:50">
      <c r="A1156" s="1042"/>
      <c r="Y1156" s="1042"/>
      <c r="Z1156" s="1042"/>
      <c r="AA1156" s="1042"/>
      <c r="AX1156" s="1042"/>
    </row>
    <row r="1157" spans="1:50">
      <c r="A1157" s="1042"/>
      <c r="Y1157" s="1042"/>
      <c r="Z1157" s="1042"/>
      <c r="AA1157" s="1042"/>
      <c r="AX1157" s="1042"/>
    </row>
    <row r="1158" spans="1:50">
      <c r="A1158" s="1042"/>
      <c r="Y1158" s="1042"/>
      <c r="Z1158" s="1042"/>
      <c r="AA1158" s="1042"/>
      <c r="AX1158" s="1042"/>
    </row>
    <row r="1159" spans="1:50">
      <c r="A1159" s="1042"/>
      <c r="Y1159" s="1042"/>
      <c r="Z1159" s="1042"/>
      <c r="AA1159" s="1042"/>
      <c r="AX1159" s="1042"/>
    </row>
    <row r="1160" spans="1:50">
      <c r="A1160" s="1042"/>
      <c r="Y1160" s="1042"/>
      <c r="Z1160" s="1042"/>
      <c r="AA1160" s="1042"/>
      <c r="AX1160" s="1042"/>
    </row>
    <row r="1161" spans="1:50">
      <c r="A1161" s="1042"/>
      <c r="Y1161" s="1042"/>
      <c r="Z1161" s="1042"/>
      <c r="AA1161" s="1042"/>
      <c r="AX1161" s="1042"/>
    </row>
    <row r="1162" spans="1:50">
      <c r="A1162" s="1042"/>
      <c r="Y1162" s="1042"/>
      <c r="Z1162" s="1042"/>
      <c r="AA1162" s="1042"/>
      <c r="AX1162" s="1042"/>
    </row>
    <row r="1163" spans="1:50">
      <c r="A1163" s="1042"/>
      <c r="Y1163" s="1042"/>
      <c r="Z1163" s="1042"/>
      <c r="AA1163" s="1042"/>
      <c r="AX1163" s="1042"/>
    </row>
    <row r="1164" spans="1:50">
      <c r="A1164" s="1042"/>
      <c r="Y1164" s="1042"/>
      <c r="Z1164" s="1042"/>
      <c r="AA1164" s="1042"/>
      <c r="AX1164" s="1042"/>
    </row>
    <row r="1165" spans="1:50">
      <c r="A1165" s="1042"/>
      <c r="Y1165" s="1042"/>
      <c r="Z1165" s="1042"/>
      <c r="AA1165" s="1042"/>
      <c r="AX1165" s="1042"/>
    </row>
    <row r="1166" spans="1:50">
      <c r="A1166" s="1042"/>
      <c r="Y1166" s="1042"/>
      <c r="Z1166" s="1042"/>
      <c r="AA1166" s="1042"/>
      <c r="AX1166" s="1042"/>
    </row>
    <row r="1167" spans="1:50">
      <c r="A1167" s="1042"/>
      <c r="Y1167" s="1042"/>
      <c r="Z1167" s="1042"/>
      <c r="AA1167" s="1042"/>
      <c r="AX1167" s="1042"/>
    </row>
    <row r="1168" spans="1:50">
      <c r="A1168" s="1042"/>
      <c r="Y1168" s="1042"/>
      <c r="Z1168" s="1042"/>
      <c r="AA1168" s="1042"/>
      <c r="AX1168" s="1042"/>
    </row>
    <row r="1169" spans="1:50">
      <c r="A1169" s="1042"/>
      <c r="Y1169" s="1042"/>
      <c r="Z1169" s="1042"/>
      <c r="AA1169" s="1042"/>
      <c r="AX1169" s="1042"/>
    </row>
    <row r="1170" spans="1:50">
      <c r="A1170" s="1042"/>
      <c r="Y1170" s="1042"/>
      <c r="Z1170" s="1042"/>
      <c r="AA1170" s="1042"/>
      <c r="AX1170" s="1042"/>
    </row>
    <row r="1171" spans="1:50">
      <c r="A1171" s="1042"/>
      <c r="Y1171" s="1042"/>
      <c r="Z1171" s="1042"/>
      <c r="AA1171" s="1042"/>
      <c r="AX1171" s="1042"/>
    </row>
    <row r="1172" spans="1:50">
      <c r="A1172" s="1042"/>
      <c r="Y1172" s="1042"/>
      <c r="Z1172" s="1042"/>
      <c r="AA1172" s="1042"/>
      <c r="AX1172" s="1042"/>
    </row>
    <row r="1173" spans="1:50">
      <c r="A1173" s="1042"/>
      <c r="Y1173" s="1042"/>
      <c r="Z1173" s="1042"/>
      <c r="AA1173" s="1042"/>
      <c r="AX1173" s="1042"/>
    </row>
    <row r="1174" spans="1:50">
      <c r="A1174" s="1042"/>
      <c r="Y1174" s="1042"/>
      <c r="Z1174" s="1042"/>
      <c r="AA1174" s="1042"/>
      <c r="AX1174" s="1042"/>
    </row>
    <row r="1175" spans="1:50">
      <c r="A1175" s="1042"/>
      <c r="Y1175" s="1042"/>
      <c r="Z1175" s="1042"/>
      <c r="AA1175" s="1042"/>
      <c r="AX1175" s="1042"/>
    </row>
    <row r="1176" spans="1:50">
      <c r="A1176" s="1042"/>
      <c r="Y1176" s="1042"/>
      <c r="Z1176" s="1042"/>
      <c r="AA1176" s="1042"/>
      <c r="AX1176" s="1042"/>
    </row>
    <row r="1177" spans="1:50">
      <c r="A1177" s="1042"/>
      <c r="Y1177" s="1042"/>
      <c r="Z1177" s="1042"/>
      <c r="AA1177" s="1042"/>
      <c r="AX1177" s="1042"/>
    </row>
    <row r="1178" spans="1:50">
      <c r="A1178" s="1042"/>
      <c r="Y1178" s="1042"/>
      <c r="Z1178" s="1042"/>
      <c r="AA1178" s="1042"/>
      <c r="AX1178" s="1042"/>
    </row>
    <row r="1179" spans="1:50">
      <c r="A1179" s="1042"/>
      <c r="Y1179" s="1042"/>
      <c r="Z1179" s="1042"/>
      <c r="AA1179" s="1042"/>
      <c r="AX1179" s="1042"/>
    </row>
    <row r="1180" spans="1:50">
      <c r="A1180" s="1042"/>
      <c r="Y1180" s="1042"/>
      <c r="Z1180" s="1042"/>
      <c r="AA1180" s="1042"/>
      <c r="AX1180" s="1042"/>
    </row>
    <row r="1181" spans="1:50">
      <c r="A1181" s="1042"/>
      <c r="Y1181" s="1042"/>
      <c r="Z1181" s="1042"/>
      <c r="AA1181" s="1042"/>
      <c r="AX1181" s="1042"/>
    </row>
    <row r="1182" spans="1:50">
      <c r="A1182" s="1042"/>
      <c r="Y1182" s="1042"/>
      <c r="Z1182" s="1042"/>
      <c r="AA1182" s="1042"/>
      <c r="AX1182" s="1042"/>
    </row>
    <row r="1183" spans="1:50">
      <c r="A1183" s="1042"/>
      <c r="Y1183" s="1042"/>
      <c r="Z1183" s="1042"/>
      <c r="AA1183" s="1042"/>
      <c r="AX1183" s="1042"/>
    </row>
    <row r="1184" spans="1:50">
      <c r="A1184" s="1042"/>
      <c r="Y1184" s="1042"/>
      <c r="Z1184" s="1042"/>
      <c r="AA1184" s="1042"/>
      <c r="AX1184" s="1042"/>
    </row>
    <row r="1185" spans="1:50">
      <c r="A1185" s="1042"/>
      <c r="Y1185" s="1042"/>
      <c r="Z1185" s="1042"/>
      <c r="AA1185" s="1042"/>
      <c r="AX1185" s="1042"/>
    </row>
    <row r="1186" spans="1:50">
      <c r="A1186" s="1042"/>
      <c r="Y1186" s="1042"/>
      <c r="Z1186" s="1042"/>
      <c r="AA1186" s="1042"/>
      <c r="AX1186" s="1042"/>
    </row>
    <row r="1187" spans="1:50">
      <c r="A1187" s="1042"/>
      <c r="Y1187" s="1042"/>
      <c r="Z1187" s="1042"/>
      <c r="AA1187" s="1042"/>
      <c r="AX1187" s="1042"/>
    </row>
    <row r="1188" spans="1:50">
      <c r="A1188" s="1042"/>
      <c r="Y1188" s="1042"/>
      <c r="Z1188" s="1042"/>
      <c r="AA1188" s="1042"/>
      <c r="AX1188" s="1042"/>
    </row>
    <row r="1189" spans="1:50">
      <c r="A1189" s="1042"/>
      <c r="Y1189" s="1042"/>
      <c r="Z1189" s="1042"/>
      <c r="AA1189" s="1042"/>
      <c r="AX1189" s="1042"/>
    </row>
    <row r="1190" spans="1:50">
      <c r="A1190" s="1042"/>
      <c r="Y1190" s="1042"/>
      <c r="Z1190" s="1042"/>
      <c r="AA1190" s="1042"/>
      <c r="AX1190" s="1042"/>
    </row>
    <row r="1191" spans="1:50">
      <c r="A1191" s="1042"/>
      <c r="Y1191" s="1042"/>
      <c r="Z1191" s="1042"/>
      <c r="AA1191" s="1042"/>
      <c r="AX1191" s="1042"/>
    </row>
    <row r="1192" spans="1:50">
      <c r="A1192" s="1042"/>
      <c r="Y1192" s="1042"/>
      <c r="Z1192" s="1042"/>
      <c r="AA1192" s="1042"/>
      <c r="AX1192" s="1042"/>
    </row>
    <row r="1193" spans="1:50">
      <c r="A1193" s="1042"/>
      <c r="Y1193" s="1042"/>
      <c r="Z1193" s="1042"/>
      <c r="AA1193" s="1042"/>
      <c r="AX1193" s="1042"/>
    </row>
    <row r="1194" spans="1:50">
      <c r="A1194" s="1042"/>
      <c r="Y1194" s="1042"/>
      <c r="Z1194" s="1042"/>
      <c r="AA1194" s="1042"/>
      <c r="AX1194" s="1042"/>
    </row>
    <row r="1195" spans="1:50">
      <c r="A1195" s="1042"/>
      <c r="Y1195" s="1042"/>
      <c r="Z1195" s="1042"/>
      <c r="AA1195" s="1042"/>
      <c r="AX1195" s="1042"/>
    </row>
    <row r="1196" spans="1:50">
      <c r="A1196" s="1042"/>
      <c r="Y1196" s="1042"/>
      <c r="Z1196" s="1042"/>
      <c r="AA1196" s="1042"/>
      <c r="AX1196" s="1042"/>
    </row>
    <row r="1197" spans="1:50">
      <c r="A1197" s="1042"/>
      <c r="Y1197" s="1042"/>
      <c r="Z1197" s="1042"/>
      <c r="AA1197" s="1042"/>
      <c r="AX1197" s="1042"/>
    </row>
    <row r="1198" spans="1:50">
      <c r="A1198" s="1042"/>
      <c r="Y1198" s="1042"/>
      <c r="Z1198" s="1042"/>
      <c r="AA1198" s="1042"/>
      <c r="AX1198" s="1042"/>
    </row>
    <row r="1199" spans="1:50">
      <c r="A1199" s="1042"/>
      <c r="Y1199" s="1042"/>
      <c r="Z1199" s="1042"/>
      <c r="AA1199" s="1042"/>
      <c r="AX1199" s="1042"/>
    </row>
    <row r="1200" spans="1:50">
      <c r="A1200" s="1042"/>
      <c r="Y1200" s="1042"/>
      <c r="Z1200" s="1042"/>
      <c r="AA1200" s="1042"/>
      <c r="AX1200" s="1042"/>
    </row>
    <row r="1201" spans="1:50">
      <c r="A1201" s="1042"/>
      <c r="Y1201" s="1042"/>
      <c r="Z1201" s="1042"/>
      <c r="AA1201" s="1042"/>
      <c r="AX1201" s="1042"/>
    </row>
    <row r="1202" spans="1:50">
      <c r="A1202" s="1042"/>
      <c r="Y1202" s="1042"/>
      <c r="Z1202" s="1042"/>
      <c r="AA1202" s="1042"/>
      <c r="AX1202" s="1042"/>
    </row>
    <row r="1203" spans="1:50">
      <c r="A1203" s="1042"/>
      <c r="Y1203" s="1042"/>
      <c r="Z1203" s="1042"/>
      <c r="AA1203" s="1042"/>
      <c r="AX1203" s="1042"/>
    </row>
    <row r="1204" spans="1:50">
      <c r="A1204" s="1042"/>
      <c r="Y1204" s="1042"/>
      <c r="Z1204" s="1042"/>
      <c r="AA1204" s="1042"/>
      <c r="AX1204" s="1042"/>
    </row>
    <row r="1205" spans="1:50">
      <c r="A1205" s="1042"/>
      <c r="Y1205" s="1042"/>
      <c r="Z1205" s="1042"/>
      <c r="AA1205" s="1042"/>
      <c r="AX1205" s="1042"/>
    </row>
    <row r="1206" spans="1:50">
      <c r="A1206" s="1042"/>
      <c r="Y1206" s="1042"/>
      <c r="Z1206" s="1042"/>
      <c r="AA1206" s="1042"/>
      <c r="AX1206" s="1042"/>
    </row>
    <row r="1207" spans="1:50">
      <c r="A1207" s="1042"/>
      <c r="Y1207" s="1042"/>
      <c r="Z1207" s="1042"/>
      <c r="AA1207" s="1042"/>
      <c r="AX1207" s="1042"/>
    </row>
    <row r="1208" spans="1:50">
      <c r="A1208" s="1042"/>
      <c r="Y1208" s="1042"/>
      <c r="Z1208" s="1042"/>
      <c r="AA1208" s="1042"/>
      <c r="AX1208" s="1042"/>
    </row>
    <row r="1209" spans="1:50">
      <c r="A1209" s="1042"/>
      <c r="Y1209" s="1042"/>
      <c r="Z1209" s="1042"/>
      <c r="AA1209" s="1042"/>
      <c r="AX1209" s="1042"/>
    </row>
    <row r="1210" spans="1:50">
      <c r="A1210" s="1042"/>
      <c r="Y1210" s="1042"/>
      <c r="Z1210" s="1042"/>
      <c r="AA1210" s="1042"/>
      <c r="AX1210" s="1042"/>
    </row>
    <row r="1211" spans="1:50">
      <c r="A1211" s="1042"/>
      <c r="Y1211" s="1042"/>
      <c r="Z1211" s="1042"/>
      <c r="AA1211" s="1042"/>
      <c r="AX1211" s="1042"/>
    </row>
    <row r="1212" spans="1:50">
      <c r="A1212" s="1042"/>
      <c r="Y1212" s="1042"/>
      <c r="Z1212" s="1042"/>
      <c r="AA1212" s="1042"/>
      <c r="AX1212" s="1042"/>
    </row>
    <row r="1213" spans="1:50">
      <c r="A1213" s="1042"/>
      <c r="Y1213" s="1042"/>
      <c r="Z1213" s="1042"/>
      <c r="AA1213" s="1042"/>
      <c r="AX1213" s="1042"/>
    </row>
    <row r="1214" spans="1:50">
      <c r="A1214" s="1042"/>
      <c r="Y1214" s="1042"/>
      <c r="Z1214" s="1042"/>
      <c r="AA1214" s="1042"/>
      <c r="AX1214" s="1042"/>
    </row>
    <row r="1215" spans="1:50">
      <c r="A1215" s="1042"/>
      <c r="Y1215" s="1042"/>
      <c r="Z1215" s="1042"/>
      <c r="AA1215" s="1042"/>
      <c r="AX1215" s="1042"/>
    </row>
    <row r="1216" spans="1:50">
      <c r="A1216" s="1042"/>
      <c r="Y1216" s="1042"/>
      <c r="Z1216" s="1042"/>
      <c r="AA1216" s="1042"/>
      <c r="AX1216" s="1042"/>
    </row>
    <row r="1217" spans="1:50">
      <c r="A1217" s="1042"/>
      <c r="Y1217" s="1042"/>
      <c r="Z1217" s="1042"/>
      <c r="AA1217" s="1042"/>
      <c r="AX1217" s="1042"/>
    </row>
    <row r="1218" spans="1:50">
      <c r="A1218" s="1042"/>
      <c r="Y1218" s="1042"/>
      <c r="Z1218" s="1042"/>
      <c r="AA1218" s="1042"/>
      <c r="AX1218" s="1042"/>
    </row>
    <row r="1219" spans="1:50">
      <c r="A1219" s="1042"/>
      <c r="Y1219" s="1042"/>
      <c r="Z1219" s="1042"/>
      <c r="AA1219" s="1042"/>
      <c r="AX1219" s="1042"/>
    </row>
    <row r="1220" spans="1:50">
      <c r="A1220" s="1042"/>
      <c r="Y1220" s="1042"/>
      <c r="Z1220" s="1042"/>
      <c r="AA1220" s="1042"/>
      <c r="AX1220" s="1042"/>
    </row>
    <row r="1221" spans="1:50">
      <c r="A1221" s="1042"/>
      <c r="Y1221" s="1042"/>
      <c r="Z1221" s="1042"/>
      <c r="AA1221" s="1042"/>
      <c r="AX1221" s="1042"/>
    </row>
    <row r="1222" spans="1:50">
      <c r="A1222" s="1042"/>
      <c r="Y1222" s="1042"/>
      <c r="Z1222" s="1042"/>
      <c r="AA1222" s="1042"/>
      <c r="AX1222" s="1042"/>
    </row>
    <row r="1223" spans="1:50">
      <c r="A1223" s="1042"/>
      <c r="Y1223" s="1042"/>
      <c r="Z1223" s="1042"/>
      <c r="AA1223" s="1042"/>
      <c r="AX1223" s="1042"/>
    </row>
    <row r="1224" spans="1:50">
      <c r="A1224" s="1042"/>
      <c r="Y1224" s="1042"/>
      <c r="Z1224" s="1042"/>
      <c r="AA1224" s="1042"/>
      <c r="AX1224" s="1042"/>
    </row>
    <row r="1225" spans="1:50">
      <c r="A1225" s="1042"/>
      <c r="Y1225" s="1042"/>
      <c r="Z1225" s="1042"/>
      <c r="AA1225" s="1042"/>
      <c r="AX1225" s="1042"/>
    </row>
    <row r="1226" spans="1:50">
      <c r="A1226" s="1042"/>
      <c r="Y1226" s="1042"/>
      <c r="Z1226" s="1042"/>
      <c r="AA1226" s="1042"/>
      <c r="AX1226" s="1042"/>
    </row>
    <row r="1227" spans="1:50">
      <c r="A1227" s="1042"/>
      <c r="Y1227" s="1042"/>
      <c r="Z1227" s="1042"/>
      <c r="AA1227" s="1042"/>
      <c r="AX1227" s="1042"/>
    </row>
    <row r="1228" spans="1:50">
      <c r="A1228" s="1042"/>
      <c r="Y1228" s="1042"/>
      <c r="Z1228" s="1042"/>
      <c r="AA1228" s="1042"/>
      <c r="AX1228" s="1042"/>
    </row>
    <row r="1229" spans="1:50">
      <c r="A1229" s="1042"/>
      <c r="Y1229" s="1042"/>
      <c r="Z1229" s="1042"/>
      <c r="AA1229" s="1042"/>
      <c r="AX1229" s="1042"/>
    </row>
    <row r="1230" spans="1:50">
      <c r="A1230" s="1042"/>
      <c r="Y1230" s="1042"/>
      <c r="Z1230" s="1042"/>
      <c r="AA1230" s="1042"/>
      <c r="AX1230" s="1042"/>
    </row>
    <row r="1231" spans="1:50">
      <c r="A1231" s="1042"/>
      <c r="Y1231" s="1042"/>
      <c r="Z1231" s="1042"/>
      <c r="AA1231" s="1042"/>
      <c r="AX1231" s="1042"/>
    </row>
    <row r="1232" spans="1:50">
      <c r="A1232" s="1042"/>
      <c r="Y1232" s="1042"/>
      <c r="Z1232" s="1042"/>
      <c r="AA1232" s="1042"/>
      <c r="AX1232" s="1042"/>
    </row>
    <row r="1233" spans="1:50">
      <c r="A1233" s="1042"/>
      <c r="Y1233" s="1042"/>
      <c r="Z1233" s="1042"/>
      <c r="AA1233" s="1042"/>
      <c r="AX1233" s="1042"/>
    </row>
    <row r="1234" spans="1:50">
      <c r="A1234" s="1042"/>
      <c r="Y1234" s="1042"/>
      <c r="Z1234" s="1042"/>
      <c r="AA1234" s="1042"/>
      <c r="AX1234" s="1042"/>
    </row>
    <row r="1235" spans="1:50">
      <c r="A1235" s="1042"/>
      <c r="Y1235" s="1042"/>
      <c r="Z1235" s="1042"/>
      <c r="AA1235" s="1042"/>
      <c r="AX1235" s="1042"/>
    </row>
    <row r="1236" spans="1:50">
      <c r="A1236" s="1042"/>
      <c r="Y1236" s="1042"/>
      <c r="Z1236" s="1042"/>
      <c r="AA1236" s="1042"/>
      <c r="AX1236" s="1042"/>
    </row>
    <row r="1237" spans="1:50">
      <c r="A1237" s="1042"/>
      <c r="Y1237" s="1042"/>
      <c r="Z1237" s="1042"/>
      <c r="AA1237" s="1042"/>
      <c r="AX1237" s="1042"/>
    </row>
    <row r="1238" spans="1:50">
      <c r="A1238" s="1042"/>
      <c r="Y1238" s="1042"/>
      <c r="Z1238" s="1042"/>
      <c r="AA1238" s="1042"/>
      <c r="AX1238" s="1042"/>
    </row>
    <row r="1239" spans="1:50">
      <c r="A1239" s="1042"/>
      <c r="Y1239" s="1042"/>
      <c r="Z1239" s="1042"/>
      <c r="AA1239" s="1042"/>
      <c r="AX1239" s="1042"/>
    </row>
    <row r="1240" spans="1:50">
      <c r="A1240" s="1042"/>
      <c r="Y1240" s="1042"/>
      <c r="Z1240" s="1042"/>
      <c r="AA1240" s="1042"/>
      <c r="AX1240" s="1042"/>
    </row>
    <row r="1241" spans="1:50">
      <c r="A1241" s="1042"/>
      <c r="Y1241" s="1042"/>
      <c r="Z1241" s="1042"/>
      <c r="AA1241" s="1042"/>
      <c r="AX1241" s="1042"/>
    </row>
    <row r="1242" spans="1:50">
      <c r="A1242" s="1042"/>
      <c r="Y1242" s="1042"/>
      <c r="Z1242" s="1042"/>
      <c r="AA1242" s="1042"/>
      <c r="AX1242" s="1042"/>
    </row>
    <row r="1243" spans="1:50">
      <c r="A1243" s="1042"/>
      <c r="Y1243" s="1042"/>
      <c r="Z1243" s="1042"/>
      <c r="AA1243" s="1042"/>
      <c r="AX1243" s="1042"/>
    </row>
    <row r="1244" spans="1:50">
      <c r="A1244" s="1042"/>
      <c r="Y1244" s="1042"/>
      <c r="Z1244" s="1042"/>
      <c r="AA1244" s="1042"/>
      <c r="AX1244" s="1042"/>
    </row>
    <row r="1245" spans="1:50">
      <c r="A1245" s="1042"/>
      <c r="Y1245" s="1042"/>
      <c r="Z1245" s="1042"/>
      <c r="AA1245" s="1042"/>
      <c r="AX1245" s="1042"/>
    </row>
    <row r="1246" spans="1:50">
      <c r="A1246" s="1042"/>
      <c r="Y1246" s="1042"/>
      <c r="Z1246" s="1042"/>
      <c r="AA1246" s="1042"/>
      <c r="AX1246" s="1042"/>
    </row>
    <row r="1247" spans="1:50">
      <c r="A1247" s="1042"/>
      <c r="Y1247" s="1042"/>
      <c r="Z1247" s="1042"/>
      <c r="AA1247" s="1042"/>
      <c r="AX1247" s="1042"/>
    </row>
    <row r="1248" spans="1:50">
      <c r="A1248" s="1042"/>
      <c r="Y1248" s="1042"/>
      <c r="Z1248" s="1042"/>
      <c r="AA1248" s="1042"/>
      <c r="AX1248" s="1042"/>
    </row>
    <row r="1249" spans="1:50">
      <c r="A1249" s="1042"/>
      <c r="Y1249" s="1042"/>
      <c r="Z1249" s="1042"/>
      <c r="AA1249" s="1042"/>
      <c r="AX1249" s="1042"/>
    </row>
    <row r="1250" spans="1:50">
      <c r="A1250" s="1042"/>
      <c r="Y1250" s="1042"/>
      <c r="Z1250" s="1042"/>
      <c r="AA1250" s="1042"/>
      <c r="AX1250" s="1042"/>
    </row>
    <row r="1251" spans="1:50">
      <c r="A1251" s="1042"/>
      <c r="Y1251" s="1042"/>
      <c r="Z1251" s="1042"/>
      <c r="AA1251" s="1042"/>
      <c r="AX1251" s="1042"/>
    </row>
    <row r="1252" spans="1:50">
      <c r="A1252" s="1042"/>
      <c r="Y1252" s="1042"/>
      <c r="Z1252" s="1042"/>
      <c r="AA1252" s="1042"/>
      <c r="AX1252" s="1042"/>
    </row>
    <row r="1253" spans="1:50">
      <c r="A1253" s="1042"/>
      <c r="Y1253" s="1042"/>
      <c r="Z1253" s="1042"/>
      <c r="AA1253" s="1042"/>
      <c r="AX1253" s="1042"/>
    </row>
    <row r="1254" spans="1:50">
      <c r="A1254" s="1042"/>
      <c r="Y1254" s="1042"/>
      <c r="Z1254" s="1042"/>
      <c r="AA1254" s="1042"/>
      <c r="AX1254" s="1042"/>
    </row>
    <row r="1255" spans="1:50">
      <c r="A1255" s="1042"/>
      <c r="Y1255" s="1042"/>
      <c r="Z1255" s="1042"/>
      <c r="AA1255" s="1042"/>
      <c r="AX1255" s="1042"/>
    </row>
    <row r="1256" spans="1:50">
      <c r="A1256" s="1042"/>
      <c r="Y1256" s="1042"/>
      <c r="Z1256" s="1042"/>
      <c r="AA1256" s="1042"/>
      <c r="AX1256" s="1042"/>
    </row>
    <row r="1257" spans="1:50">
      <c r="A1257" s="1042"/>
      <c r="Y1257" s="1042"/>
      <c r="Z1257" s="1042"/>
      <c r="AA1257" s="1042"/>
      <c r="AX1257" s="1042"/>
    </row>
    <row r="1258" spans="1:50">
      <c r="A1258" s="1042"/>
      <c r="Y1258" s="1042"/>
      <c r="Z1258" s="1042"/>
      <c r="AA1258" s="1042"/>
      <c r="AX1258" s="1042"/>
    </row>
    <row r="1259" spans="1:50">
      <c r="A1259" s="1042"/>
      <c r="Y1259" s="1042"/>
      <c r="Z1259" s="1042"/>
      <c r="AA1259" s="1042"/>
      <c r="AX1259" s="1042"/>
    </row>
    <row r="1260" spans="1:50">
      <c r="A1260" s="1042"/>
      <c r="Y1260" s="1042"/>
      <c r="Z1260" s="1042"/>
      <c r="AA1260" s="1042"/>
      <c r="AX1260" s="1042"/>
    </row>
    <row r="1261" spans="1:50">
      <c r="A1261" s="1042"/>
      <c r="Y1261" s="1042"/>
      <c r="Z1261" s="1042"/>
      <c r="AA1261" s="1042"/>
      <c r="AX1261" s="1042"/>
    </row>
    <row r="1262" spans="1:50">
      <c r="A1262" s="1042"/>
      <c r="Y1262" s="1042"/>
      <c r="Z1262" s="1042"/>
      <c r="AA1262" s="1042"/>
      <c r="AX1262" s="1042"/>
    </row>
    <row r="1263" spans="1:50">
      <c r="A1263" s="1042"/>
      <c r="Y1263" s="1042"/>
      <c r="Z1263" s="1042"/>
      <c r="AA1263" s="1042"/>
      <c r="AX1263" s="1042"/>
    </row>
    <row r="1264" spans="1:50">
      <c r="A1264" s="1042"/>
      <c r="Y1264" s="1042"/>
      <c r="Z1264" s="1042"/>
      <c r="AA1264" s="1042"/>
      <c r="AX1264" s="1042"/>
    </row>
    <row r="1265" spans="1:50">
      <c r="A1265" s="1042"/>
      <c r="Y1265" s="1042"/>
      <c r="Z1265" s="1042"/>
      <c r="AA1265" s="1042"/>
      <c r="AX1265" s="1042"/>
    </row>
    <row r="1266" spans="1:50">
      <c r="A1266" s="1042"/>
      <c r="Y1266" s="1042"/>
      <c r="Z1266" s="1042"/>
      <c r="AA1266" s="1042"/>
      <c r="AX1266" s="1042"/>
    </row>
    <row r="1267" spans="1:50">
      <c r="A1267" s="1042"/>
      <c r="Y1267" s="1042"/>
      <c r="Z1267" s="1042"/>
      <c r="AA1267" s="1042"/>
      <c r="AX1267" s="1042"/>
    </row>
    <row r="1268" spans="1:50">
      <c r="A1268" s="1042"/>
      <c r="Y1268" s="1042"/>
      <c r="Z1268" s="1042"/>
      <c r="AA1268" s="1042"/>
      <c r="AX1268" s="1042"/>
    </row>
    <row r="1269" spans="1:50">
      <c r="A1269" s="1042"/>
      <c r="Y1269" s="1042"/>
      <c r="Z1269" s="1042"/>
      <c r="AA1269" s="1042"/>
      <c r="AX1269" s="1042"/>
    </row>
    <row r="1270" spans="1:50">
      <c r="A1270" s="1042"/>
      <c r="Y1270" s="1042"/>
      <c r="Z1270" s="1042"/>
      <c r="AA1270" s="1042"/>
      <c r="AX1270" s="1042"/>
    </row>
    <row r="1271" spans="1:50">
      <c r="A1271" s="1042"/>
      <c r="Y1271" s="1042"/>
      <c r="Z1271" s="1042"/>
      <c r="AA1271" s="1042"/>
      <c r="AX1271" s="1042"/>
    </row>
    <row r="1272" spans="1:50">
      <c r="A1272" s="1042"/>
      <c r="Y1272" s="1042"/>
      <c r="Z1272" s="1042"/>
      <c r="AA1272" s="1042"/>
      <c r="AX1272" s="1042"/>
    </row>
    <row r="1273" spans="1:50">
      <c r="A1273" s="1042"/>
      <c r="Y1273" s="1042"/>
      <c r="Z1273" s="1042"/>
      <c r="AA1273" s="1042"/>
      <c r="AX1273" s="1042"/>
    </row>
    <row r="1274" spans="1:50">
      <c r="A1274" s="1042"/>
      <c r="Y1274" s="1042"/>
      <c r="Z1274" s="1042"/>
      <c r="AA1274" s="1042"/>
      <c r="AX1274" s="1042"/>
    </row>
    <row r="1275" spans="1:50">
      <c r="A1275" s="1042"/>
      <c r="Y1275" s="1042"/>
      <c r="Z1275" s="1042"/>
      <c r="AA1275" s="1042"/>
      <c r="AX1275" s="1042"/>
    </row>
    <row r="1276" spans="1:50">
      <c r="A1276" s="1042"/>
      <c r="Y1276" s="1042"/>
      <c r="Z1276" s="1042"/>
      <c r="AA1276" s="1042"/>
      <c r="AX1276" s="1042"/>
    </row>
    <row r="1277" spans="1:50">
      <c r="A1277" s="1042"/>
      <c r="Y1277" s="1042"/>
      <c r="Z1277" s="1042"/>
      <c r="AA1277" s="1042"/>
      <c r="AX1277" s="1042"/>
    </row>
    <row r="1278" spans="1:50">
      <c r="A1278" s="1042"/>
      <c r="Y1278" s="1042"/>
      <c r="Z1278" s="1042"/>
      <c r="AA1278" s="1042"/>
      <c r="AX1278" s="1042"/>
    </row>
    <row r="1279" spans="1:50">
      <c r="A1279" s="1042"/>
      <c r="Y1279" s="1042"/>
      <c r="Z1279" s="1042"/>
      <c r="AA1279" s="1042"/>
      <c r="AX1279" s="1042"/>
    </row>
    <row r="1280" spans="1:50">
      <c r="A1280" s="1042"/>
      <c r="Y1280" s="1042"/>
      <c r="Z1280" s="1042"/>
      <c r="AA1280" s="1042"/>
      <c r="AX1280" s="1042"/>
    </row>
    <row r="1281" spans="1:50">
      <c r="A1281" s="1042"/>
      <c r="Y1281" s="1042"/>
      <c r="Z1281" s="1042"/>
      <c r="AA1281" s="1042"/>
      <c r="AX1281" s="1042"/>
    </row>
    <row r="1282" spans="1:50">
      <c r="A1282" s="1042"/>
      <c r="Y1282" s="1042"/>
      <c r="Z1282" s="1042"/>
      <c r="AA1282" s="1042"/>
      <c r="AX1282" s="1042"/>
    </row>
    <row r="1283" spans="1:50">
      <c r="A1283" s="1042"/>
      <c r="Y1283" s="1042"/>
      <c r="Z1283" s="1042"/>
      <c r="AA1283" s="1042"/>
      <c r="AX1283" s="1042"/>
    </row>
    <row r="1284" spans="1:50">
      <c r="A1284" s="1042"/>
      <c r="Y1284" s="1042"/>
      <c r="Z1284" s="1042"/>
      <c r="AA1284" s="1042"/>
      <c r="AX1284" s="1042"/>
    </row>
    <row r="1285" spans="1:50">
      <c r="A1285" s="1042"/>
      <c r="Y1285" s="1042"/>
      <c r="Z1285" s="1042"/>
      <c r="AA1285" s="1042"/>
      <c r="AX1285" s="1042"/>
    </row>
    <row r="1286" spans="1:50">
      <c r="A1286" s="1042"/>
      <c r="Y1286" s="1042"/>
      <c r="Z1286" s="1042"/>
      <c r="AA1286" s="1042"/>
      <c r="AX1286" s="1042"/>
    </row>
    <row r="1287" spans="1:50">
      <c r="A1287" s="1042"/>
      <c r="Y1287" s="1042"/>
      <c r="Z1287" s="1042"/>
      <c r="AA1287" s="1042"/>
      <c r="AX1287" s="1042"/>
    </row>
    <row r="1288" spans="1:50">
      <c r="A1288" s="1042"/>
      <c r="Y1288" s="1042"/>
      <c r="Z1288" s="1042"/>
      <c r="AA1288" s="1042"/>
      <c r="AX1288" s="1042"/>
    </row>
    <row r="1289" spans="1:50">
      <c r="A1289" s="1042"/>
      <c r="Y1289" s="1042"/>
      <c r="Z1289" s="1042"/>
      <c r="AA1289" s="1042"/>
      <c r="AX1289" s="1042"/>
    </row>
    <row r="1290" spans="1:50">
      <c r="A1290" s="1042"/>
      <c r="Y1290" s="1042"/>
      <c r="Z1290" s="1042"/>
      <c r="AA1290" s="1042"/>
      <c r="AX1290" s="1042"/>
    </row>
    <row r="1291" spans="1:50">
      <c r="A1291" s="1042"/>
      <c r="Y1291" s="1042"/>
      <c r="Z1291" s="1042"/>
      <c r="AA1291" s="1042"/>
      <c r="AX1291" s="1042"/>
    </row>
    <row r="1292" spans="1:50">
      <c r="A1292" s="1042"/>
      <c r="Y1292" s="1042"/>
      <c r="Z1292" s="1042"/>
      <c r="AA1292" s="1042"/>
      <c r="AX1292" s="1042"/>
    </row>
    <row r="1293" spans="1:50">
      <c r="A1293" s="1042"/>
      <c r="Y1293" s="1042"/>
      <c r="Z1293" s="1042"/>
      <c r="AA1293" s="1042"/>
      <c r="AX1293" s="1042"/>
    </row>
    <row r="1294" spans="1:50">
      <c r="A1294" s="1042"/>
      <c r="Y1294" s="1042"/>
      <c r="Z1294" s="1042"/>
      <c r="AA1294" s="1042"/>
      <c r="AX1294" s="1042"/>
    </row>
    <row r="1295" spans="1:50">
      <c r="A1295" s="1042"/>
      <c r="Y1295" s="1042"/>
      <c r="Z1295" s="1042"/>
      <c r="AA1295" s="1042"/>
      <c r="AX1295" s="1042"/>
    </row>
    <row r="1296" spans="1:50">
      <c r="A1296" s="1042"/>
      <c r="Y1296" s="1042"/>
      <c r="Z1296" s="1042"/>
      <c r="AA1296" s="1042"/>
      <c r="AX1296" s="1042"/>
    </row>
    <row r="1297" spans="1:50">
      <c r="A1297" s="1042"/>
      <c r="Y1297" s="1042"/>
      <c r="Z1297" s="1042"/>
      <c r="AA1297" s="1042"/>
      <c r="AX1297" s="1042"/>
    </row>
    <row r="1298" spans="1:50">
      <c r="A1298" s="1042"/>
      <c r="Y1298" s="1042"/>
      <c r="Z1298" s="1042"/>
      <c r="AA1298" s="1042"/>
      <c r="AX1298" s="1042"/>
    </row>
    <row r="1299" spans="1:50">
      <c r="A1299" s="1042"/>
      <c r="Y1299" s="1042"/>
      <c r="Z1299" s="1042"/>
      <c r="AA1299" s="1042"/>
      <c r="AX1299" s="1042"/>
    </row>
    <row r="1300" spans="1:50">
      <c r="A1300" s="1042"/>
      <c r="Y1300" s="1042"/>
      <c r="Z1300" s="1042"/>
      <c r="AA1300" s="1042"/>
      <c r="AX1300" s="1042"/>
    </row>
    <row r="1301" spans="1:50">
      <c r="A1301" s="1042"/>
      <c r="Y1301" s="1042"/>
      <c r="Z1301" s="1042"/>
      <c r="AA1301" s="1042"/>
      <c r="AX1301" s="1042"/>
    </row>
    <row r="1302" spans="1:50">
      <c r="A1302" s="1042"/>
      <c r="Y1302" s="1042"/>
      <c r="Z1302" s="1042"/>
      <c r="AA1302" s="1042"/>
      <c r="AX1302" s="1042"/>
    </row>
    <row r="1303" spans="1:50">
      <c r="A1303" s="1042"/>
      <c r="Y1303" s="1042"/>
      <c r="Z1303" s="1042"/>
      <c r="AA1303" s="1042"/>
      <c r="AX1303" s="1042"/>
    </row>
    <row r="1304" spans="1:50">
      <c r="A1304" s="1042"/>
      <c r="Y1304" s="1042"/>
      <c r="Z1304" s="1042"/>
      <c r="AA1304" s="1042"/>
      <c r="AX1304" s="1042"/>
    </row>
    <row r="1305" spans="1:50">
      <c r="A1305" s="1042"/>
      <c r="Y1305" s="1042"/>
      <c r="Z1305" s="1042"/>
      <c r="AA1305" s="1042"/>
      <c r="AX1305" s="1042"/>
    </row>
    <row r="1306" spans="1:50">
      <c r="A1306" s="1042"/>
      <c r="Y1306" s="1042"/>
      <c r="Z1306" s="1042"/>
      <c r="AA1306" s="1042"/>
      <c r="AX1306" s="1042"/>
    </row>
    <row r="1307" spans="1:50">
      <c r="A1307" s="1042"/>
      <c r="Y1307" s="1042"/>
      <c r="Z1307" s="1042"/>
      <c r="AA1307" s="1042"/>
      <c r="AX1307" s="1042"/>
    </row>
    <row r="1308" spans="1:50">
      <c r="A1308" s="1042"/>
      <c r="Y1308" s="1042"/>
      <c r="Z1308" s="1042"/>
      <c r="AA1308" s="1042"/>
      <c r="AX1308" s="1042"/>
    </row>
    <row r="1309" spans="1:50">
      <c r="A1309" s="1042"/>
      <c r="Y1309" s="1042"/>
      <c r="Z1309" s="1042"/>
      <c r="AA1309" s="1042"/>
      <c r="AX1309" s="1042"/>
    </row>
    <row r="1310" spans="1:50">
      <c r="A1310" s="1042"/>
      <c r="Y1310" s="1042"/>
      <c r="Z1310" s="1042"/>
      <c r="AA1310" s="1042"/>
      <c r="AX1310" s="1042"/>
    </row>
    <row r="1311" spans="1:50">
      <c r="A1311" s="1042"/>
      <c r="Y1311" s="1042"/>
      <c r="Z1311" s="1042"/>
      <c r="AA1311" s="1042"/>
      <c r="AX1311" s="1042"/>
    </row>
    <row r="1312" spans="1:50">
      <c r="A1312" s="1042"/>
      <c r="Y1312" s="1042"/>
      <c r="Z1312" s="1042"/>
      <c r="AA1312" s="1042"/>
      <c r="AX1312" s="1042"/>
    </row>
    <row r="1313" spans="1:50">
      <c r="A1313" s="1042"/>
      <c r="Y1313" s="1042"/>
      <c r="Z1313" s="1042"/>
      <c r="AA1313" s="1042"/>
      <c r="AX1313" s="1042"/>
    </row>
    <row r="1314" spans="1:50">
      <c r="A1314" s="1042"/>
      <c r="Y1314" s="1042"/>
      <c r="Z1314" s="1042"/>
      <c r="AA1314" s="1042"/>
      <c r="AX1314" s="1042"/>
    </row>
    <row r="1315" spans="1:50">
      <c r="A1315" s="1042"/>
      <c r="Y1315" s="1042"/>
      <c r="Z1315" s="1042"/>
      <c r="AA1315" s="1042"/>
      <c r="AX1315" s="1042"/>
    </row>
    <row r="1316" spans="1:50">
      <c r="A1316" s="1042"/>
      <c r="Y1316" s="1042"/>
      <c r="Z1316" s="1042"/>
      <c r="AA1316" s="1042"/>
      <c r="AX1316" s="1042"/>
    </row>
    <row r="1317" spans="1:50">
      <c r="A1317" s="1042"/>
      <c r="Y1317" s="1042"/>
      <c r="Z1317" s="1042"/>
      <c r="AA1317" s="1042"/>
      <c r="AX1317" s="1042"/>
    </row>
    <row r="1318" spans="1:50">
      <c r="A1318" s="1042"/>
      <c r="Y1318" s="1042"/>
      <c r="Z1318" s="1042"/>
      <c r="AA1318" s="1042"/>
      <c r="AX1318" s="1042"/>
    </row>
    <row r="1319" spans="1:50">
      <c r="A1319" s="1042"/>
      <c r="Y1319" s="1042"/>
      <c r="Z1319" s="1042"/>
      <c r="AA1319" s="1042"/>
      <c r="AX1319" s="1042"/>
    </row>
    <row r="1320" spans="1:50">
      <c r="A1320" s="1042"/>
      <c r="Y1320" s="1042"/>
      <c r="Z1320" s="1042"/>
      <c r="AA1320" s="1042"/>
      <c r="AX1320" s="1042"/>
    </row>
    <row r="1321" spans="1:50">
      <c r="A1321" s="1042"/>
      <c r="Y1321" s="1042"/>
      <c r="Z1321" s="1042"/>
      <c r="AA1321" s="1042"/>
      <c r="AX1321" s="1042"/>
    </row>
    <row r="1322" spans="1:50">
      <c r="A1322" s="1042"/>
      <c r="Y1322" s="1042"/>
      <c r="Z1322" s="1042"/>
      <c r="AA1322" s="1042"/>
      <c r="AX1322" s="1042"/>
    </row>
    <row r="1323" spans="1:50">
      <c r="A1323" s="1042"/>
      <c r="Y1323" s="1042"/>
      <c r="Z1323" s="1042"/>
      <c r="AA1323" s="1042"/>
      <c r="AX1323" s="1042"/>
    </row>
    <row r="1324" spans="1:50">
      <c r="A1324" s="1042"/>
      <c r="Y1324" s="1042"/>
      <c r="Z1324" s="1042"/>
      <c r="AA1324" s="1042"/>
      <c r="AX1324" s="1042"/>
    </row>
    <row r="1325" spans="1:50">
      <c r="A1325" s="1042"/>
      <c r="Y1325" s="1042"/>
      <c r="Z1325" s="1042"/>
      <c r="AA1325" s="1042"/>
      <c r="AX1325" s="1042"/>
    </row>
    <row r="1326" spans="1:50">
      <c r="A1326" s="1042"/>
      <c r="Y1326" s="1042"/>
      <c r="Z1326" s="1042"/>
      <c r="AA1326" s="1042"/>
      <c r="AX1326" s="1042"/>
    </row>
    <row r="1327" spans="1:50">
      <c r="A1327" s="1042"/>
      <c r="Y1327" s="1042"/>
      <c r="Z1327" s="1042"/>
      <c r="AA1327" s="1042"/>
      <c r="AX1327" s="1042"/>
    </row>
    <row r="1328" spans="1:50">
      <c r="A1328" s="1042"/>
      <c r="Y1328" s="1042"/>
      <c r="Z1328" s="1042"/>
      <c r="AA1328" s="1042"/>
      <c r="AX1328" s="1042"/>
    </row>
    <row r="1329" spans="1:50">
      <c r="A1329" s="1042"/>
      <c r="Y1329" s="1042"/>
      <c r="Z1329" s="1042"/>
      <c r="AA1329" s="1042"/>
      <c r="AX1329" s="1042"/>
    </row>
    <row r="1330" spans="1:50">
      <c r="A1330" s="1042"/>
      <c r="Y1330" s="1042"/>
      <c r="Z1330" s="1042"/>
      <c r="AA1330" s="1042"/>
      <c r="AX1330" s="1042"/>
    </row>
    <row r="1331" spans="1:50">
      <c r="A1331" s="1042"/>
      <c r="Y1331" s="1042"/>
      <c r="Z1331" s="1042"/>
      <c r="AA1331" s="1042"/>
      <c r="AX1331" s="1042"/>
    </row>
    <row r="1332" spans="1:50">
      <c r="A1332" s="1042"/>
      <c r="Y1332" s="1042"/>
      <c r="Z1332" s="1042"/>
      <c r="AA1332" s="1042"/>
      <c r="AX1332" s="1042"/>
    </row>
    <row r="1333" spans="1:50">
      <c r="A1333" s="1042"/>
      <c r="Y1333" s="1042"/>
      <c r="Z1333" s="1042"/>
      <c r="AA1333" s="1042"/>
      <c r="AX1333" s="1042"/>
    </row>
    <row r="1334" spans="1:50">
      <c r="A1334" s="1042"/>
      <c r="Y1334" s="1042"/>
      <c r="Z1334" s="1042"/>
      <c r="AA1334" s="1042"/>
      <c r="AX1334" s="1042"/>
    </row>
    <row r="1335" spans="1:50">
      <c r="A1335" s="1042"/>
      <c r="Y1335" s="1042"/>
      <c r="Z1335" s="1042"/>
      <c r="AA1335" s="1042"/>
      <c r="AX1335" s="1042"/>
    </row>
    <row r="1336" spans="1:50">
      <c r="A1336" s="1042"/>
      <c r="Y1336" s="1042"/>
      <c r="Z1336" s="1042"/>
      <c r="AA1336" s="1042"/>
      <c r="AX1336" s="1042"/>
    </row>
    <row r="1337" spans="1:50">
      <c r="A1337" s="1042"/>
      <c r="Y1337" s="1042"/>
      <c r="Z1337" s="1042"/>
      <c r="AA1337" s="1042"/>
      <c r="AX1337" s="1042"/>
    </row>
    <row r="1338" spans="1:50">
      <c r="A1338" s="1042"/>
      <c r="Y1338" s="1042"/>
      <c r="Z1338" s="1042"/>
      <c r="AA1338" s="1042"/>
      <c r="AX1338" s="1042"/>
    </row>
    <row r="1339" spans="1:50">
      <c r="A1339" s="1042"/>
      <c r="Y1339" s="1042"/>
      <c r="Z1339" s="1042"/>
      <c r="AA1339" s="1042"/>
      <c r="AX1339" s="1042"/>
    </row>
    <row r="1340" spans="1:50">
      <c r="A1340" s="1042"/>
      <c r="Y1340" s="1042"/>
      <c r="Z1340" s="1042"/>
      <c r="AA1340" s="1042"/>
      <c r="AX1340" s="1042"/>
    </row>
    <row r="1341" spans="1:50">
      <c r="A1341" s="1042"/>
      <c r="Y1341" s="1042"/>
      <c r="Z1341" s="1042"/>
      <c r="AA1341" s="1042"/>
      <c r="AX1341" s="1042"/>
    </row>
    <row r="1342" spans="1:50">
      <c r="A1342" s="1042"/>
      <c r="Y1342" s="1042"/>
      <c r="Z1342" s="1042"/>
      <c r="AA1342" s="1042"/>
      <c r="AX1342" s="1042"/>
    </row>
    <row r="1343" spans="1:50">
      <c r="A1343" s="1042"/>
      <c r="Y1343" s="1042"/>
      <c r="Z1343" s="1042"/>
      <c r="AA1343" s="1042"/>
      <c r="AX1343" s="1042"/>
    </row>
    <row r="1344" spans="1:50">
      <c r="A1344" s="1042"/>
      <c r="Y1344" s="1042"/>
      <c r="Z1344" s="1042"/>
      <c r="AA1344" s="1042"/>
      <c r="AX1344" s="1042"/>
    </row>
    <row r="1345" spans="1:50">
      <c r="A1345" s="1042"/>
      <c r="Y1345" s="1042"/>
      <c r="Z1345" s="1042"/>
      <c r="AA1345" s="1042"/>
      <c r="AX1345" s="1042"/>
    </row>
    <row r="1346" spans="1:50">
      <c r="A1346" s="1042"/>
      <c r="Y1346" s="1042"/>
      <c r="Z1346" s="1042"/>
      <c r="AA1346" s="1042"/>
      <c r="AX1346" s="1042"/>
    </row>
    <row r="1347" spans="1:50">
      <c r="A1347" s="1042"/>
      <c r="Y1347" s="1042"/>
      <c r="Z1347" s="1042"/>
      <c r="AA1347" s="1042"/>
      <c r="AX1347" s="1042"/>
    </row>
    <row r="1348" spans="1:50">
      <c r="A1348" s="1042"/>
      <c r="Y1348" s="1042"/>
      <c r="Z1348" s="1042"/>
      <c r="AA1348" s="1042"/>
      <c r="AX1348" s="1042"/>
    </row>
    <row r="1349" spans="1:50">
      <c r="A1349" s="1042"/>
      <c r="Y1349" s="1042"/>
      <c r="Z1349" s="1042"/>
      <c r="AA1349" s="1042"/>
      <c r="AX1349" s="1042"/>
    </row>
    <row r="1350" spans="1:50">
      <c r="A1350" s="1042"/>
      <c r="Y1350" s="1042"/>
      <c r="Z1350" s="1042"/>
      <c r="AA1350" s="1042"/>
      <c r="AX1350" s="1042"/>
    </row>
    <row r="1351" spans="1:50">
      <c r="A1351" s="1042"/>
      <c r="Y1351" s="1042"/>
      <c r="Z1351" s="1042"/>
      <c r="AA1351" s="1042"/>
      <c r="AX1351" s="1042"/>
    </row>
    <row r="1352" spans="1:50">
      <c r="A1352" s="1042"/>
      <c r="Y1352" s="1042"/>
      <c r="Z1352" s="1042"/>
      <c r="AA1352" s="1042"/>
      <c r="AX1352" s="1042"/>
    </row>
    <row r="1353" spans="1:50">
      <c r="A1353" s="1042"/>
      <c r="Y1353" s="1042"/>
      <c r="Z1353" s="1042"/>
      <c r="AA1353" s="1042"/>
      <c r="AX1353" s="1042"/>
    </row>
    <row r="1354" spans="1:50">
      <c r="A1354" s="1042"/>
      <c r="Y1354" s="1042"/>
      <c r="Z1354" s="1042"/>
      <c r="AA1354" s="1042"/>
      <c r="AX1354" s="1042"/>
    </row>
    <row r="1355" spans="1:50">
      <c r="A1355" s="1042"/>
      <c r="Y1355" s="1042"/>
      <c r="Z1355" s="1042"/>
      <c r="AA1355" s="1042"/>
      <c r="AX1355" s="1042"/>
    </row>
    <row r="1356" spans="1:50">
      <c r="A1356" s="1042"/>
      <c r="Y1356" s="1042"/>
      <c r="Z1356" s="1042"/>
      <c r="AA1356" s="1042"/>
      <c r="AX1356" s="1042"/>
    </row>
    <row r="1357" spans="1:50">
      <c r="A1357" s="1042"/>
      <c r="Y1357" s="1042"/>
      <c r="Z1357" s="1042"/>
      <c r="AA1357" s="1042"/>
      <c r="AX1357" s="1042"/>
    </row>
    <row r="1358" spans="1:50">
      <c r="A1358" s="1042"/>
      <c r="Y1358" s="1042"/>
      <c r="Z1358" s="1042"/>
      <c r="AA1358" s="1042"/>
      <c r="AX1358" s="1042"/>
    </row>
    <row r="1359" spans="1:50">
      <c r="A1359" s="1042"/>
      <c r="Y1359" s="1042"/>
      <c r="Z1359" s="1042"/>
      <c r="AA1359" s="1042"/>
      <c r="AX1359" s="1042"/>
    </row>
    <row r="1360" spans="1:50">
      <c r="A1360" s="1042"/>
      <c r="Y1360" s="1042"/>
      <c r="Z1360" s="1042"/>
      <c r="AA1360" s="1042"/>
      <c r="AX1360" s="1042"/>
    </row>
    <row r="1361" spans="1:50">
      <c r="A1361" s="1042"/>
      <c r="Y1361" s="1042"/>
      <c r="Z1361" s="1042"/>
      <c r="AA1361" s="1042"/>
      <c r="AX1361" s="1042"/>
    </row>
    <row r="1362" spans="1:50">
      <c r="A1362" s="1042"/>
      <c r="Y1362" s="1042"/>
      <c r="Z1362" s="1042"/>
      <c r="AA1362" s="1042"/>
      <c r="AX1362" s="1042"/>
    </row>
    <row r="1363" spans="1:50">
      <c r="A1363" s="1042"/>
      <c r="Y1363" s="1042"/>
      <c r="Z1363" s="1042"/>
      <c r="AA1363" s="1042"/>
      <c r="AX1363" s="1042"/>
    </row>
    <row r="1364" spans="1:50">
      <c r="A1364" s="1042"/>
      <c r="Y1364" s="1042"/>
      <c r="Z1364" s="1042"/>
      <c r="AA1364" s="1042"/>
      <c r="AX1364" s="1042"/>
    </row>
    <row r="1365" spans="1:50">
      <c r="A1365" s="1042"/>
      <c r="Y1365" s="1042"/>
      <c r="Z1365" s="1042"/>
      <c r="AA1365" s="1042"/>
      <c r="AX1365" s="1042"/>
    </row>
    <row r="1366" spans="1:50">
      <c r="A1366" s="1042"/>
      <c r="Y1366" s="1042"/>
      <c r="Z1366" s="1042"/>
      <c r="AA1366" s="1042"/>
      <c r="AX1366" s="1042"/>
    </row>
    <row r="1367" spans="1:50">
      <c r="A1367" s="1042"/>
      <c r="Y1367" s="1042"/>
      <c r="Z1367" s="1042"/>
      <c r="AA1367" s="1042"/>
      <c r="AX1367" s="1042"/>
    </row>
    <row r="1368" spans="1:50">
      <c r="A1368" s="1042"/>
      <c r="Y1368" s="1042"/>
      <c r="Z1368" s="1042"/>
      <c r="AA1368" s="1042"/>
      <c r="AX1368" s="1042"/>
    </row>
    <row r="1369" spans="1:50">
      <c r="A1369" s="1042"/>
      <c r="Y1369" s="1042"/>
      <c r="Z1369" s="1042"/>
      <c r="AA1369" s="1042"/>
      <c r="AX1369" s="1042"/>
    </row>
    <row r="1370" spans="1:50">
      <c r="A1370" s="1042"/>
      <c r="Y1370" s="1042"/>
      <c r="Z1370" s="1042"/>
      <c r="AA1370" s="1042"/>
      <c r="AX1370" s="1042"/>
    </row>
    <row r="1371" spans="1:50">
      <c r="A1371" s="1042"/>
      <c r="Y1371" s="1042"/>
      <c r="Z1371" s="1042"/>
      <c r="AA1371" s="1042"/>
      <c r="AX1371" s="1042"/>
    </row>
    <row r="1372" spans="1:50">
      <c r="A1372" s="1042"/>
      <c r="Y1372" s="1042"/>
      <c r="Z1372" s="1042"/>
      <c r="AA1372" s="1042"/>
      <c r="AX1372" s="1042"/>
    </row>
    <row r="1373" spans="1:50">
      <c r="A1373" s="1042"/>
      <c r="Y1373" s="1042"/>
      <c r="Z1373" s="1042"/>
      <c r="AA1373" s="1042"/>
      <c r="AX1373" s="1042"/>
    </row>
    <row r="1374" spans="1:50">
      <c r="A1374" s="1042"/>
      <c r="Y1374" s="1042"/>
      <c r="Z1374" s="1042"/>
      <c r="AA1374" s="1042"/>
      <c r="AX1374" s="1042"/>
    </row>
    <row r="1375" spans="1:50">
      <c r="A1375" s="1042"/>
      <c r="Y1375" s="1042"/>
      <c r="Z1375" s="1042"/>
      <c r="AA1375" s="1042"/>
      <c r="AX1375" s="1042"/>
    </row>
    <row r="1376" spans="1:50">
      <c r="A1376" s="1042"/>
      <c r="Y1376" s="1042"/>
      <c r="Z1376" s="1042"/>
      <c r="AA1376" s="1042"/>
      <c r="AX1376" s="1042"/>
    </row>
    <row r="1377" spans="1:50">
      <c r="A1377" s="1042"/>
      <c r="Y1377" s="1042"/>
      <c r="Z1377" s="1042"/>
      <c r="AA1377" s="1042"/>
      <c r="AX1377" s="1042"/>
    </row>
    <row r="1378" spans="1:50">
      <c r="A1378" s="1042"/>
      <c r="Y1378" s="1042"/>
      <c r="Z1378" s="1042"/>
      <c r="AA1378" s="1042"/>
      <c r="AX1378" s="1042"/>
    </row>
    <row r="1379" spans="1:50">
      <c r="A1379" s="1042"/>
      <c r="Y1379" s="1042"/>
      <c r="Z1379" s="1042"/>
      <c r="AA1379" s="1042"/>
      <c r="AX1379" s="1042"/>
    </row>
    <row r="1380" spans="1:50">
      <c r="A1380" s="1042"/>
      <c r="Y1380" s="1042"/>
      <c r="Z1380" s="1042"/>
      <c r="AA1380" s="1042"/>
      <c r="AX1380" s="1042"/>
    </row>
    <row r="1381" spans="1:50">
      <c r="A1381" s="1042"/>
      <c r="Y1381" s="1042"/>
      <c r="Z1381" s="1042"/>
      <c r="AA1381" s="1042"/>
      <c r="AX1381" s="1042"/>
    </row>
    <row r="1382" spans="1:50">
      <c r="A1382" s="1042"/>
      <c r="Y1382" s="1042"/>
      <c r="Z1382" s="1042"/>
      <c r="AA1382" s="1042"/>
      <c r="AX1382" s="1042"/>
    </row>
    <row r="1383" spans="1:50">
      <c r="A1383" s="1042"/>
      <c r="Y1383" s="1042"/>
      <c r="Z1383" s="1042"/>
      <c r="AA1383" s="1042"/>
      <c r="AX1383" s="1042"/>
    </row>
    <row r="1384" spans="1:50">
      <c r="A1384" s="1042"/>
      <c r="Y1384" s="1042"/>
      <c r="Z1384" s="1042"/>
      <c r="AA1384" s="1042"/>
      <c r="AX1384" s="1042"/>
    </row>
    <row r="1385" spans="1:50">
      <c r="A1385" s="1042"/>
      <c r="Y1385" s="1042"/>
      <c r="Z1385" s="1042"/>
      <c r="AA1385" s="1042"/>
      <c r="AX1385" s="1042"/>
    </row>
    <row r="1386" spans="1:50">
      <c r="A1386" s="1042"/>
      <c r="Y1386" s="1042"/>
      <c r="Z1386" s="1042"/>
      <c r="AA1386" s="1042"/>
      <c r="AX1386" s="1042"/>
    </row>
    <row r="1387" spans="1:50">
      <c r="A1387" s="1042"/>
      <c r="Y1387" s="1042"/>
      <c r="Z1387" s="1042"/>
      <c r="AA1387" s="1042"/>
      <c r="AX1387" s="1042"/>
    </row>
    <row r="1388" spans="1:50">
      <c r="A1388" s="1042"/>
      <c r="Y1388" s="1042"/>
      <c r="Z1388" s="1042"/>
      <c r="AA1388" s="1042"/>
      <c r="AX1388" s="1042"/>
    </row>
    <row r="1389" spans="1:50">
      <c r="A1389" s="1042"/>
      <c r="Y1389" s="1042"/>
      <c r="Z1389" s="1042"/>
      <c r="AA1389" s="1042"/>
      <c r="AX1389" s="1042"/>
    </row>
    <row r="1390" spans="1:50">
      <c r="A1390" s="1042"/>
      <c r="Y1390" s="1042"/>
      <c r="Z1390" s="1042"/>
      <c r="AA1390" s="1042"/>
      <c r="AX1390" s="1042"/>
    </row>
    <row r="1391" spans="1:50">
      <c r="A1391" s="1042"/>
      <c r="Y1391" s="1042"/>
      <c r="Z1391" s="1042"/>
      <c r="AA1391" s="1042"/>
      <c r="AX1391" s="1042"/>
    </row>
    <row r="1392" spans="1:50">
      <c r="A1392" s="1042"/>
      <c r="Y1392" s="1042"/>
      <c r="Z1392" s="1042"/>
      <c r="AA1392" s="1042"/>
      <c r="AX1392" s="1042"/>
    </row>
    <row r="1393" spans="1:50">
      <c r="A1393" s="1042"/>
      <c r="Y1393" s="1042"/>
      <c r="Z1393" s="1042"/>
      <c r="AA1393" s="1042"/>
      <c r="AX1393" s="1042"/>
    </row>
    <row r="1394" spans="1:50">
      <c r="A1394" s="1042"/>
      <c r="Y1394" s="1042"/>
      <c r="Z1394" s="1042"/>
      <c r="AA1394" s="1042"/>
      <c r="AX1394" s="1042"/>
    </row>
    <row r="1395" spans="1:50">
      <c r="A1395" s="1042"/>
      <c r="Y1395" s="1042"/>
      <c r="Z1395" s="1042"/>
      <c r="AA1395" s="1042"/>
      <c r="AX1395" s="1042"/>
    </row>
    <row r="1396" spans="1:50">
      <c r="A1396" s="1042"/>
      <c r="Y1396" s="1042"/>
      <c r="Z1396" s="1042"/>
      <c r="AA1396" s="1042"/>
      <c r="AX1396" s="1042"/>
    </row>
    <row r="1397" spans="1:50">
      <c r="A1397" s="1042"/>
      <c r="Y1397" s="1042"/>
      <c r="Z1397" s="1042"/>
      <c r="AA1397" s="1042"/>
      <c r="AX1397" s="1042"/>
    </row>
    <row r="1398" spans="1:50">
      <c r="A1398" s="1042"/>
      <c r="Y1398" s="1042"/>
      <c r="Z1398" s="1042"/>
      <c r="AA1398" s="1042"/>
      <c r="AX1398" s="1042"/>
    </row>
    <row r="1399" spans="1:50">
      <c r="A1399" s="1042"/>
      <c r="Y1399" s="1042"/>
      <c r="Z1399" s="1042"/>
      <c r="AA1399" s="1042"/>
      <c r="AX1399" s="1042"/>
    </row>
    <row r="1400" spans="1:50">
      <c r="A1400" s="1042"/>
      <c r="Y1400" s="1042"/>
      <c r="Z1400" s="1042"/>
      <c r="AA1400" s="1042"/>
      <c r="AX1400" s="1042"/>
    </row>
    <row r="1401" spans="1:50">
      <c r="A1401" s="1042"/>
      <c r="Y1401" s="1042"/>
      <c r="Z1401" s="1042"/>
      <c r="AA1401" s="1042"/>
      <c r="AX1401" s="1042"/>
    </row>
    <row r="1402" spans="1:50">
      <c r="A1402" s="1042"/>
      <c r="Y1402" s="1042"/>
      <c r="Z1402" s="1042"/>
      <c r="AA1402" s="1042"/>
      <c r="AX1402" s="1042"/>
    </row>
    <row r="1403" spans="1:50">
      <c r="A1403" s="1042"/>
      <c r="Y1403" s="1042"/>
      <c r="Z1403" s="1042"/>
      <c r="AA1403" s="1042"/>
      <c r="AX1403" s="1042"/>
    </row>
    <row r="1404" spans="1:50">
      <c r="A1404" s="1042"/>
      <c r="Y1404" s="1042"/>
      <c r="Z1404" s="1042"/>
      <c r="AA1404" s="1042"/>
      <c r="AX1404" s="1042"/>
    </row>
    <row r="1405" spans="1:50">
      <c r="A1405" s="1042"/>
      <c r="Y1405" s="1042"/>
      <c r="Z1405" s="1042"/>
      <c r="AA1405" s="1042"/>
      <c r="AX1405" s="1042"/>
    </row>
    <row r="1406" spans="1:50">
      <c r="A1406" s="1042"/>
      <c r="Y1406" s="1042"/>
      <c r="Z1406" s="1042"/>
      <c r="AA1406" s="1042"/>
      <c r="AX1406" s="1042"/>
    </row>
    <row r="1407" spans="1:50">
      <c r="A1407" s="1042"/>
      <c r="Y1407" s="1042"/>
      <c r="Z1407" s="1042"/>
      <c r="AA1407" s="1042"/>
      <c r="AX1407" s="1042"/>
    </row>
    <row r="1408" spans="1:50">
      <c r="A1408" s="1042"/>
      <c r="Y1408" s="1042"/>
      <c r="Z1408" s="1042"/>
      <c r="AA1408" s="1042"/>
      <c r="AX1408" s="1042"/>
    </row>
    <row r="1409" spans="1:50">
      <c r="A1409" s="1042"/>
      <c r="Y1409" s="1042"/>
      <c r="Z1409" s="1042"/>
      <c r="AA1409" s="1042"/>
      <c r="AX1409" s="1042"/>
    </row>
    <row r="1410" spans="1:50">
      <c r="A1410" s="1042"/>
      <c r="Y1410" s="1042"/>
      <c r="Z1410" s="1042"/>
      <c r="AA1410" s="1042"/>
      <c r="AX1410" s="1042"/>
    </row>
    <row r="1411" spans="1:50">
      <c r="A1411" s="1042"/>
      <c r="Y1411" s="1042"/>
      <c r="Z1411" s="1042"/>
      <c r="AA1411" s="1042"/>
      <c r="AX1411" s="1042"/>
    </row>
    <row r="1412" spans="1:50">
      <c r="A1412" s="1042"/>
      <c r="Y1412" s="1042"/>
      <c r="Z1412" s="1042"/>
      <c r="AA1412" s="1042"/>
      <c r="AX1412" s="1042"/>
    </row>
    <row r="1413" spans="1:50">
      <c r="A1413" s="1042"/>
      <c r="Y1413" s="1042"/>
      <c r="Z1413" s="1042"/>
      <c r="AA1413" s="1042"/>
      <c r="AX1413" s="1042"/>
    </row>
    <row r="1414" spans="1:50">
      <c r="A1414" s="1042"/>
      <c r="Y1414" s="1042"/>
      <c r="Z1414" s="1042"/>
      <c r="AA1414" s="1042"/>
      <c r="AX1414" s="1042"/>
    </row>
    <row r="1415" spans="1:50">
      <c r="A1415" s="1042"/>
      <c r="Y1415" s="1042"/>
      <c r="Z1415" s="1042"/>
      <c r="AA1415" s="1042"/>
      <c r="AX1415" s="1042"/>
    </row>
    <row r="1416" spans="1:50">
      <c r="A1416" s="1042"/>
      <c r="Y1416" s="1042"/>
      <c r="Z1416" s="1042"/>
      <c r="AA1416" s="1042"/>
      <c r="AX1416" s="1042"/>
    </row>
    <row r="1417" spans="1:50">
      <c r="A1417" s="1042"/>
      <c r="Y1417" s="1042"/>
      <c r="Z1417" s="1042"/>
      <c r="AA1417" s="1042"/>
      <c r="AX1417" s="1042"/>
    </row>
    <row r="1418" spans="1:50">
      <c r="A1418" s="1042"/>
      <c r="Y1418" s="1042"/>
      <c r="Z1418" s="1042"/>
      <c r="AA1418" s="1042"/>
      <c r="AX1418" s="1042"/>
    </row>
    <row r="1419" spans="1:50">
      <c r="A1419" s="1042"/>
      <c r="Y1419" s="1042"/>
      <c r="Z1419" s="1042"/>
      <c r="AA1419" s="1042"/>
      <c r="AX1419" s="1042"/>
    </row>
    <row r="1420" spans="1:50">
      <c r="A1420" s="1042"/>
      <c r="Y1420" s="1042"/>
      <c r="Z1420" s="1042"/>
      <c r="AA1420" s="1042"/>
      <c r="AX1420" s="1042"/>
    </row>
    <row r="1421" spans="1:50">
      <c r="A1421" s="1042"/>
      <c r="Y1421" s="1042"/>
      <c r="Z1421" s="1042"/>
      <c r="AA1421" s="1042"/>
      <c r="AX1421" s="1042"/>
    </row>
    <row r="1422" spans="1:50">
      <c r="A1422" s="1042"/>
      <c r="Y1422" s="1042"/>
      <c r="Z1422" s="1042"/>
      <c r="AA1422" s="1042"/>
      <c r="AX1422" s="1042"/>
    </row>
    <row r="1423" spans="1:50">
      <c r="A1423" s="1042"/>
      <c r="Y1423" s="1042"/>
      <c r="Z1423" s="1042"/>
      <c r="AA1423" s="1042"/>
      <c r="AX1423" s="1042"/>
    </row>
    <row r="1424" spans="1:50">
      <c r="A1424" s="1042"/>
      <c r="Y1424" s="1042"/>
      <c r="Z1424" s="1042"/>
      <c r="AA1424" s="1042"/>
      <c r="AX1424" s="1042"/>
    </row>
    <row r="1425" spans="1:50">
      <c r="A1425" s="1042"/>
      <c r="Y1425" s="1042"/>
      <c r="Z1425" s="1042"/>
      <c r="AA1425" s="1042"/>
      <c r="AX1425" s="1042"/>
    </row>
    <row r="1426" spans="1:50">
      <c r="A1426" s="1042"/>
      <c r="Y1426" s="1042"/>
      <c r="Z1426" s="1042"/>
      <c r="AA1426" s="1042"/>
      <c r="AX1426" s="1042"/>
    </row>
    <row r="1427" spans="1:50">
      <c r="A1427" s="1042"/>
      <c r="Y1427" s="1042"/>
      <c r="Z1427" s="1042"/>
      <c r="AA1427" s="1042"/>
      <c r="AX1427" s="1042"/>
    </row>
    <row r="1428" spans="1:50">
      <c r="A1428" s="1042"/>
      <c r="Y1428" s="1042"/>
      <c r="Z1428" s="1042"/>
      <c r="AA1428" s="1042"/>
      <c r="AX1428" s="1042"/>
    </row>
    <row r="1429" spans="1:50">
      <c r="A1429" s="1042"/>
      <c r="Y1429" s="1042"/>
      <c r="Z1429" s="1042"/>
      <c r="AA1429" s="1042"/>
      <c r="AX1429" s="1042"/>
    </row>
    <row r="1430" spans="1:50">
      <c r="A1430" s="1042"/>
      <c r="Y1430" s="1042"/>
      <c r="Z1430" s="1042"/>
      <c r="AA1430" s="1042"/>
      <c r="AX1430" s="1042"/>
    </row>
    <row r="1431" spans="1:50">
      <c r="A1431" s="1042"/>
      <c r="Y1431" s="1042"/>
      <c r="Z1431" s="1042"/>
      <c r="AA1431" s="1042"/>
      <c r="AX1431" s="1042"/>
    </row>
    <row r="1432" spans="1:50">
      <c r="A1432" s="1042"/>
      <c r="Y1432" s="1042"/>
      <c r="Z1432" s="1042"/>
      <c r="AA1432" s="1042"/>
      <c r="AX1432" s="1042"/>
    </row>
    <row r="1433" spans="1:50">
      <c r="A1433" s="1042"/>
      <c r="Y1433" s="1042"/>
      <c r="Z1433" s="1042"/>
      <c r="AA1433" s="1042"/>
      <c r="AX1433" s="1042"/>
    </row>
    <row r="1434" spans="1:50">
      <c r="A1434" s="1042"/>
      <c r="Y1434" s="1042"/>
      <c r="Z1434" s="1042"/>
      <c r="AA1434" s="1042"/>
      <c r="AX1434" s="1042"/>
    </row>
    <row r="1435" spans="1:50">
      <c r="A1435" s="1042"/>
      <c r="Y1435" s="1042"/>
      <c r="Z1435" s="1042"/>
      <c r="AA1435" s="1042"/>
      <c r="AX1435" s="1042"/>
    </row>
    <row r="1436" spans="1:50">
      <c r="A1436" s="1042"/>
      <c r="Y1436" s="1042"/>
      <c r="Z1436" s="1042"/>
      <c r="AA1436" s="1042"/>
      <c r="AX1436" s="1042"/>
    </row>
    <row r="1437" spans="1:50">
      <c r="A1437" s="1042"/>
      <c r="Y1437" s="1042"/>
      <c r="Z1437" s="1042"/>
      <c r="AA1437" s="1042"/>
      <c r="AX1437" s="1042"/>
    </row>
    <row r="1438" spans="1:50">
      <c r="A1438" s="1042"/>
      <c r="Y1438" s="1042"/>
      <c r="Z1438" s="1042"/>
      <c r="AA1438" s="1042"/>
      <c r="AX1438" s="1042"/>
    </row>
    <row r="1439" spans="1:50">
      <c r="A1439" s="1042"/>
      <c r="Y1439" s="1042"/>
      <c r="Z1439" s="1042"/>
      <c r="AA1439" s="1042"/>
      <c r="AX1439" s="1042"/>
    </row>
    <row r="1440" spans="1:50">
      <c r="A1440" s="1042"/>
      <c r="Y1440" s="1042"/>
      <c r="Z1440" s="1042"/>
      <c r="AA1440" s="1042"/>
      <c r="AX1440" s="1042"/>
    </row>
    <row r="1441" spans="1:50">
      <c r="A1441" s="1042"/>
      <c r="Y1441" s="1042"/>
      <c r="Z1441" s="1042"/>
      <c r="AA1441" s="1042"/>
      <c r="AX1441" s="1042"/>
    </row>
    <row r="1442" spans="1:50">
      <c r="A1442" s="1042"/>
      <c r="Y1442" s="1042"/>
      <c r="Z1442" s="1042"/>
      <c r="AA1442" s="1042"/>
      <c r="AX1442" s="1042"/>
    </row>
    <row r="1443" spans="1:50">
      <c r="A1443" s="1042"/>
      <c r="Y1443" s="1042"/>
      <c r="Z1443" s="1042"/>
      <c r="AA1443" s="1042"/>
      <c r="AX1443" s="1042"/>
    </row>
    <row r="1444" spans="1:50">
      <c r="A1444" s="1042"/>
      <c r="Y1444" s="1042"/>
      <c r="Z1444" s="1042"/>
      <c r="AA1444" s="1042"/>
      <c r="AX1444" s="1042"/>
    </row>
    <row r="1445" spans="1:50">
      <c r="A1445" s="1042"/>
      <c r="Y1445" s="1042"/>
      <c r="Z1445" s="1042"/>
      <c r="AA1445" s="1042"/>
      <c r="AX1445" s="1042"/>
    </row>
    <row r="1446" spans="1:50">
      <c r="A1446" s="1042"/>
      <c r="Y1446" s="1042"/>
      <c r="Z1446" s="1042"/>
      <c r="AA1446" s="1042"/>
      <c r="AX1446" s="1042"/>
    </row>
    <row r="1447" spans="1:50">
      <c r="A1447" s="1042"/>
      <c r="Y1447" s="1042"/>
      <c r="Z1447" s="1042"/>
      <c r="AA1447" s="1042"/>
      <c r="AX1447" s="1042"/>
    </row>
    <row r="1448" spans="1:50">
      <c r="A1448" s="1042"/>
      <c r="Y1448" s="1042"/>
      <c r="Z1448" s="1042"/>
      <c r="AA1448" s="1042"/>
      <c r="AX1448" s="1042"/>
    </row>
    <row r="1449" spans="1:50">
      <c r="A1449" s="1042"/>
      <c r="Y1449" s="1042"/>
      <c r="Z1449" s="1042"/>
      <c r="AA1449" s="1042"/>
      <c r="AX1449" s="1042"/>
    </row>
    <row r="1450" spans="1:50">
      <c r="A1450" s="1042"/>
      <c r="Y1450" s="1042"/>
      <c r="Z1450" s="1042"/>
      <c r="AA1450" s="1042"/>
      <c r="AX1450" s="1042"/>
    </row>
    <row r="1451" spans="1:50">
      <c r="A1451" s="1042"/>
      <c r="Y1451" s="1042"/>
      <c r="Z1451" s="1042"/>
      <c r="AA1451" s="1042"/>
      <c r="AX1451" s="1042"/>
    </row>
    <row r="1452" spans="1:50">
      <c r="A1452" s="1042"/>
      <c r="Y1452" s="1042"/>
      <c r="Z1452" s="1042"/>
      <c r="AA1452" s="1042"/>
      <c r="AX1452" s="1042"/>
    </row>
    <row r="1453" spans="1:50">
      <c r="A1453" s="1042"/>
      <c r="Y1453" s="1042"/>
      <c r="Z1453" s="1042"/>
      <c r="AA1453" s="1042"/>
      <c r="AX1453" s="1042"/>
    </row>
    <row r="1454" spans="1:50">
      <c r="A1454" s="1042"/>
      <c r="Y1454" s="1042"/>
      <c r="Z1454" s="1042"/>
      <c r="AA1454" s="1042"/>
      <c r="AX1454" s="1042"/>
    </row>
    <row r="1455" spans="1:50">
      <c r="A1455" s="1042"/>
      <c r="Y1455" s="1042"/>
      <c r="Z1455" s="1042"/>
      <c r="AA1455" s="1042"/>
      <c r="AX1455" s="1042"/>
    </row>
    <row r="1456" spans="1:50">
      <c r="A1456" s="1042"/>
      <c r="Y1456" s="1042"/>
      <c r="Z1456" s="1042"/>
      <c r="AA1456" s="1042"/>
      <c r="AX1456" s="1042"/>
    </row>
    <row r="1457" spans="1:50">
      <c r="A1457" s="1042"/>
      <c r="Y1457" s="1042"/>
      <c r="Z1457" s="1042"/>
      <c r="AA1457" s="1042"/>
      <c r="AX1457" s="1042"/>
    </row>
    <row r="1458" spans="1:50">
      <c r="A1458" s="1042"/>
      <c r="Y1458" s="1042"/>
      <c r="Z1458" s="1042"/>
      <c r="AA1458" s="1042"/>
      <c r="AX1458" s="1042"/>
    </row>
    <row r="1459" spans="1:50">
      <c r="A1459" s="1042"/>
      <c r="Y1459" s="1042"/>
      <c r="Z1459" s="1042"/>
      <c r="AA1459" s="1042"/>
      <c r="AX1459" s="1042"/>
    </row>
    <row r="1460" spans="1:50">
      <c r="A1460" s="1042"/>
      <c r="Y1460" s="1042"/>
      <c r="Z1460" s="1042"/>
      <c r="AA1460" s="1042"/>
      <c r="AX1460" s="1042"/>
    </row>
    <row r="1461" spans="1:50">
      <c r="A1461" s="1042"/>
      <c r="Y1461" s="1042"/>
      <c r="Z1461" s="1042"/>
      <c r="AA1461" s="1042"/>
      <c r="AX1461" s="1042"/>
    </row>
    <row r="1462" spans="1:50">
      <c r="A1462" s="1042"/>
      <c r="Y1462" s="1042"/>
      <c r="Z1462" s="1042"/>
      <c r="AA1462" s="1042"/>
      <c r="AX1462" s="1042"/>
    </row>
    <row r="1463" spans="1:50">
      <c r="A1463" s="1042"/>
      <c r="Y1463" s="1042"/>
      <c r="Z1463" s="1042"/>
      <c r="AA1463" s="1042"/>
      <c r="AX1463" s="1042"/>
    </row>
    <row r="1464" spans="1:50">
      <c r="A1464" s="1042"/>
      <c r="Y1464" s="1042"/>
      <c r="Z1464" s="1042"/>
      <c r="AA1464" s="1042"/>
      <c r="AX1464" s="1042"/>
    </row>
    <row r="1465" spans="1:50">
      <c r="A1465" s="1042"/>
      <c r="Y1465" s="1042"/>
      <c r="Z1465" s="1042"/>
      <c r="AA1465" s="1042"/>
      <c r="AX1465" s="1042"/>
    </row>
    <row r="1466" spans="1:50">
      <c r="A1466" s="1042"/>
      <c r="Y1466" s="1042"/>
      <c r="Z1466" s="1042"/>
      <c r="AA1466" s="1042"/>
      <c r="AX1466" s="1042"/>
    </row>
    <row r="1467" spans="1:50">
      <c r="A1467" s="1042"/>
      <c r="Y1467" s="1042"/>
      <c r="Z1467" s="1042"/>
      <c r="AA1467" s="1042"/>
      <c r="AX1467" s="1042"/>
    </row>
    <row r="1468" spans="1:50">
      <c r="A1468" s="1042"/>
      <c r="Y1468" s="1042"/>
      <c r="Z1468" s="1042"/>
      <c r="AA1468" s="1042"/>
      <c r="AX1468" s="1042"/>
    </row>
    <row r="1469" spans="1:50">
      <c r="A1469" s="1042"/>
      <c r="Y1469" s="1042"/>
      <c r="Z1469" s="1042"/>
      <c r="AA1469" s="1042"/>
      <c r="AX1469" s="1042"/>
    </row>
    <row r="1470" spans="1:50">
      <c r="A1470" s="1042"/>
      <c r="Y1470" s="1042"/>
      <c r="Z1470" s="1042"/>
      <c r="AA1470" s="1042"/>
      <c r="AX1470" s="1042"/>
    </row>
    <row r="1471" spans="1:50">
      <c r="A1471" s="1042"/>
      <c r="Y1471" s="1042"/>
      <c r="Z1471" s="1042"/>
      <c r="AA1471" s="1042"/>
      <c r="AX1471" s="1042"/>
    </row>
    <row r="1472" spans="1:50">
      <c r="A1472" s="1042"/>
      <c r="Y1472" s="1042"/>
      <c r="Z1472" s="1042"/>
      <c r="AA1472" s="1042"/>
      <c r="AX1472" s="1042"/>
    </row>
    <row r="1473" spans="1:50">
      <c r="A1473" s="1042"/>
      <c r="Y1473" s="1042"/>
      <c r="Z1473" s="1042"/>
      <c r="AA1473" s="1042"/>
      <c r="AX1473" s="1042"/>
    </row>
    <row r="1474" spans="1:50">
      <c r="A1474" s="1042"/>
      <c r="Y1474" s="1042"/>
      <c r="Z1474" s="1042"/>
      <c r="AA1474" s="1042"/>
      <c r="AX1474" s="1042"/>
    </row>
    <row r="1475" spans="1:50">
      <c r="A1475" s="1042"/>
      <c r="Y1475" s="1042"/>
      <c r="Z1475" s="1042"/>
      <c r="AA1475" s="1042"/>
      <c r="AX1475" s="1042"/>
    </row>
    <row r="1476" spans="1:50">
      <c r="A1476" s="1042"/>
      <c r="Y1476" s="1042"/>
      <c r="Z1476" s="1042"/>
      <c r="AA1476" s="1042"/>
      <c r="AX1476" s="1042"/>
    </row>
    <row r="1477" spans="1:50">
      <c r="A1477" s="1042"/>
      <c r="Y1477" s="1042"/>
      <c r="Z1477" s="1042"/>
      <c r="AA1477" s="1042"/>
      <c r="AX1477" s="1042"/>
    </row>
    <row r="1478" spans="1:50">
      <c r="A1478" s="1042"/>
      <c r="Y1478" s="1042"/>
      <c r="Z1478" s="1042"/>
      <c r="AA1478" s="1042"/>
      <c r="AX1478" s="1042"/>
    </row>
    <row r="1479" spans="1:50">
      <c r="A1479" s="1042"/>
      <c r="Y1479" s="1042"/>
      <c r="Z1479" s="1042"/>
      <c r="AA1479" s="1042"/>
      <c r="AX1479" s="1042"/>
    </row>
    <row r="1480" spans="1:50">
      <c r="A1480" s="1042"/>
      <c r="Y1480" s="1042"/>
      <c r="Z1480" s="1042"/>
      <c r="AA1480" s="1042"/>
      <c r="AX1480" s="1042"/>
    </row>
    <row r="1481" spans="1:50">
      <c r="A1481" s="1042"/>
      <c r="Y1481" s="1042"/>
      <c r="Z1481" s="1042"/>
      <c r="AA1481" s="1042"/>
      <c r="AX1481" s="1042"/>
    </row>
    <row r="1482" spans="1:50">
      <c r="A1482" s="1042"/>
      <c r="Y1482" s="1042"/>
      <c r="Z1482" s="1042"/>
      <c r="AA1482" s="1042"/>
      <c r="AX1482" s="1042"/>
    </row>
    <row r="1483" spans="1:50">
      <c r="A1483" s="1042"/>
      <c r="Y1483" s="1042"/>
      <c r="Z1483" s="1042"/>
      <c r="AA1483" s="1042"/>
      <c r="AX1483" s="1042"/>
    </row>
    <row r="1484" spans="1:50">
      <c r="A1484" s="1042"/>
      <c r="Y1484" s="1042"/>
      <c r="Z1484" s="1042"/>
      <c r="AA1484" s="1042"/>
      <c r="AX1484" s="1042"/>
    </row>
    <row r="1485" spans="1:50">
      <c r="A1485" s="1042"/>
      <c r="Y1485" s="1042"/>
      <c r="Z1485" s="1042"/>
      <c r="AA1485" s="1042"/>
      <c r="AX1485" s="1042"/>
    </row>
    <row r="1486" spans="1:50">
      <c r="A1486" s="1042"/>
      <c r="Y1486" s="1042"/>
      <c r="Z1486" s="1042"/>
      <c r="AA1486" s="1042"/>
      <c r="AX1486" s="1042"/>
    </row>
    <row r="1487" spans="1:50">
      <c r="A1487" s="1042"/>
      <c r="Y1487" s="1042"/>
      <c r="Z1487" s="1042"/>
      <c r="AA1487" s="1042"/>
      <c r="AX1487" s="1042"/>
    </row>
    <row r="1488" spans="1:50">
      <c r="A1488" s="1042"/>
      <c r="Y1488" s="1042"/>
      <c r="Z1488" s="1042"/>
      <c r="AA1488" s="1042"/>
      <c r="AX1488" s="1042"/>
    </row>
    <row r="1489" spans="1:50">
      <c r="A1489" s="1042"/>
      <c r="Y1489" s="1042"/>
      <c r="Z1489" s="1042"/>
      <c r="AA1489" s="1042"/>
      <c r="AX1489" s="1042"/>
    </row>
    <row r="1490" spans="1:50">
      <c r="A1490" s="1042"/>
      <c r="Y1490" s="1042"/>
      <c r="Z1490" s="1042"/>
      <c r="AA1490" s="1042"/>
      <c r="AX1490" s="1042"/>
    </row>
    <row r="1491" spans="1:50">
      <c r="A1491" s="1042"/>
      <c r="Y1491" s="1042"/>
      <c r="Z1491" s="1042"/>
      <c r="AA1491" s="1042"/>
      <c r="AX1491" s="1042"/>
    </row>
    <row r="1492" spans="1:50">
      <c r="A1492" s="1042"/>
      <c r="Y1492" s="1042"/>
      <c r="Z1492" s="1042"/>
      <c r="AA1492" s="1042"/>
      <c r="AX1492" s="1042"/>
    </row>
    <row r="1493" spans="1:50">
      <c r="A1493" s="1042"/>
      <c r="Y1493" s="1042"/>
      <c r="Z1493" s="1042"/>
      <c r="AA1493" s="1042"/>
      <c r="AX1493" s="1042"/>
    </row>
    <row r="1494" spans="1:50">
      <c r="A1494" s="1042"/>
      <c r="Y1494" s="1042"/>
      <c r="Z1494" s="1042"/>
      <c r="AA1494" s="1042"/>
      <c r="AX1494" s="1042"/>
    </row>
    <row r="1495" spans="1:50">
      <c r="A1495" s="1042"/>
      <c r="Y1495" s="1042"/>
      <c r="Z1495" s="1042"/>
      <c r="AA1495" s="1042"/>
      <c r="AX1495" s="1042"/>
    </row>
    <row r="1496" spans="1:50">
      <c r="A1496" s="1042"/>
      <c r="Y1496" s="1042"/>
      <c r="Z1496" s="1042"/>
      <c r="AA1496" s="1042"/>
      <c r="AX1496" s="1042"/>
    </row>
    <row r="1497" spans="1:50">
      <c r="A1497" s="1042"/>
      <c r="Y1497" s="1042"/>
      <c r="Z1497" s="1042"/>
      <c r="AA1497" s="1042"/>
      <c r="AX1497" s="1042"/>
    </row>
    <row r="1498" spans="1:50">
      <c r="A1498" s="1042"/>
      <c r="Y1498" s="1042"/>
      <c r="Z1498" s="1042"/>
      <c r="AA1498" s="1042"/>
      <c r="AX1498" s="1042"/>
    </row>
    <row r="1499" spans="1:50">
      <c r="A1499" s="1042"/>
      <c r="Y1499" s="1042"/>
      <c r="Z1499" s="1042"/>
      <c r="AA1499" s="1042"/>
      <c r="AX1499" s="1042"/>
    </row>
    <row r="1500" spans="1:50">
      <c r="A1500" s="1042"/>
      <c r="Y1500" s="1042"/>
      <c r="Z1500" s="1042"/>
      <c r="AA1500" s="1042"/>
      <c r="AX1500" s="1042"/>
    </row>
    <row r="1501" spans="1:50">
      <c r="A1501" s="1042"/>
      <c r="Y1501" s="1042"/>
      <c r="Z1501" s="1042"/>
      <c r="AA1501" s="1042"/>
      <c r="AX1501" s="1042"/>
    </row>
    <row r="1502" spans="1:50">
      <c r="A1502" s="1042"/>
      <c r="Y1502" s="1042"/>
      <c r="Z1502" s="1042"/>
      <c r="AA1502" s="1042"/>
      <c r="AX1502" s="1042"/>
    </row>
    <row r="1503" spans="1:50">
      <c r="A1503" s="1042"/>
      <c r="Y1503" s="1042"/>
      <c r="Z1503" s="1042"/>
      <c r="AA1503" s="1042"/>
      <c r="AX1503" s="1042"/>
    </row>
    <row r="1504" spans="1:50">
      <c r="A1504" s="1042"/>
      <c r="Y1504" s="1042"/>
      <c r="Z1504" s="1042"/>
      <c r="AA1504" s="1042"/>
      <c r="AX1504" s="1042"/>
    </row>
    <row r="1505" spans="1:50">
      <c r="A1505" s="1042"/>
      <c r="Y1505" s="1042"/>
      <c r="Z1505" s="1042"/>
      <c r="AA1505" s="1042"/>
      <c r="AX1505" s="1042"/>
    </row>
    <row r="1506" spans="1:50">
      <c r="A1506" s="1042"/>
      <c r="Y1506" s="1042"/>
      <c r="Z1506" s="1042"/>
      <c r="AA1506" s="1042"/>
      <c r="AX1506" s="1042"/>
    </row>
    <row r="1507" spans="1:50">
      <c r="A1507" s="1042"/>
      <c r="Y1507" s="1042"/>
      <c r="Z1507" s="1042"/>
      <c r="AA1507" s="1042"/>
      <c r="AX1507" s="1042"/>
    </row>
    <row r="1508" spans="1:50">
      <c r="A1508" s="1042"/>
      <c r="Y1508" s="1042"/>
      <c r="Z1508" s="1042"/>
      <c r="AA1508" s="1042"/>
      <c r="AX1508" s="1042"/>
    </row>
    <row r="1509" spans="1:50">
      <c r="A1509" s="1042"/>
      <c r="Y1509" s="1042"/>
      <c r="Z1509" s="1042"/>
      <c r="AA1509" s="1042"/>
      <c r="AX1509" s="1042"/>
    </row>
    <row r="1510" spans="1:50">
      <c r="A1510" s="1042"/>
      <c r="Y1510" s="1042"/>
      <c r="Z1510" s="1042"/>
      <c r="AA1510" s="1042"/>
      <c r="AX1510" s="1042"/>
    </row>
    <row r="1511" spans="1:50">
      <c r="A1511" s="1042"/>
      <c r="Y1511" s="1042"/>
      <c r="Z1511" s="1042"/>
      <c r="AA1511" s="1042"/>
      <c r="AX1511" s="1042"/>
    </row>
    <row r="1512" spans="1:50">
      <c r="A1512" s="1042"/>
      <c r="Y1512" s="1042"/>
      <c r="Z1512" s="1042"/>
      <c r="AA1512" s="1042"/>
      <c r="AX1512" s="1042"/>
    </row>
    <row r="1513" spans="1:50">
      <c r="A1513" s="1042"/>
      <c r="Y1513" s="1042"/>
      <c r="Z1513" s="1042"/>
      <c r="AA1513" s="1042"/>
      <c r="AX1513" s="1042"/>
    </row>
    <row r="1514" spans="1:50">
      <c r="A1514" s="1042"/>
      <c r="Y1514" s="1042"/>
      <c r="Z1514" s="1042"/>
      <c r="AA1514" s="1042"/>
      <c r="AX1514" s="1042"/>
    </row>
    <row r="1515" spans="1:50">
      <c r="A1515" s="1042"/>
      <c r="Y1515" s="1042"/>
      <c r="Z1515" s="1042"/>
      <c r="AA1515" s="1042"/>
      <c r="AX1515" s="1042"/>
    </row>
    <row r="1516" spans="1:50">
      <c r="A1516" s="1042"/>
      <c r="Y1516" s="1042"/>
      <c r="Z1516" s="1042"/>
      <c r="AA1516" s="1042"/>
      <c r="AX1516" s="1042"/>
    </row>
    <row r="1517" spans="1:50">
      <c r="A1517" s="1042"/>
      <c r="Y1517" s="1042"/>
      <c r="Z1517" s="1042"/>
      <c r="AA1517" s="1042"/>
      <c r="AX1517" s="1042"/>
    </row>
    <row r="1518" spans="1:50">
      <c r="A1518" s="1042"/>
      <c r="Y1518" s="1042"/>
      <c r="Z1518" s="1042"/>
      <c r="AA1518" s="1042"/>
      <c r="AX1518" s="1042"/>
    </row>
    <row r="1519" spans="1:50">
      <c r="A1519" s="1042"/>
      <c r="Y1519" s="1042"/>
      <c r="Z1519" s="1042"/>
      <c r="AA1519" s="1042"/>
      <c r="AX1519" s="1042"/>
    </row>
    <row r="1520" spans="1:50">
      <c r="A1520" s="1042"/>
      <c r="Y1520" s="1042"/>
      <c r="Z1520" s="1042"/>
      <c r="AA1520" s="1042"/>
      <c r="AX1520" s="1042"/>
    </row>
    <row r="1521" spans="1:50">
      <c r="A1521" s="1042"/>
      <c r="Y1521" s="1042"/>
      <c r="Z1521" s="1042"/>
      <c r="AA1521" s="1042"/>
      <c r="AX1521" s="1042"/>
    </row>
    <row r="1522" spans="1:50">
      <c r="A1522" s="1042"/>
      <c r="Y1522" s="1042"/>
      <c r="Z1522" s="1042"/>
      <c r="AA1522" s="1042"/>
      <c r="AX1522" s="1042"/>
    </row>
    <row r="1523" spans="1:50">
      <c r="A1523" s="1042"/>
      <c r="Y1523" s="1042"/>
      <c r="Z1523" s="1042"/>
      <c r="AA1523" s="1042"/>
      <c r="AX1523" s="1042"/>
    </row>
    <row r="1524" spans="1:50">
      <c r="A1524" s="1042"/>
      <c r="Y1524" s="1042"/>
      <c r="Z1524" s="1042"/>
      <c r="AA1524" s="1042"/>
      <c r="AX1524" s="1042"/>
    </row>
    <row r="1525" spans="1:50">
      <c r="A1525" s="1042"/>
      <c r="Y1525" s="1042"/>
      <c r="Z1525" s="1042"/>
      <c r="AA1525" s="1042"/>
      <c r="AX1525" s="1042"/>
    </row>
    <row r="1526" spans="1:50">
      <c r="A1526" s="1042"/>
      <c r="Y1526" s="1042"/>
      <c r="Z1526" s="1042"/>
      <c r="AA1526" s="1042"/>
      <c r="AX1526" s="1042"/>
    </row>
    <row r="1527" spans="1:50">
      <c r="A1527" s="1042"/>
      <c r="Y1527" s="1042"/>
      <c r="Z1527" s="1042"/>
      <c r="AA1527" s="1042"/>
      <c r="AX1527" s="1042"/>
    </row>
    <row r="1528" spans="1:50">
      <c r="A1528" s="1042"/>
      <c r="Y1528" s="1042"/>
      <c r="Z1528" s="1042"/>
      <c r="AA1528" s="1042"/>
      <c r="AX1528" s="1042"/>
    </row>
    <row r="1529" spans="1:50">
      <c r="A1529" s="1042"/>
      <c r="Y1529" s="1042"/>
      <c r="Z1529" s="1042"/>
      <c r="AA1529" s="1042"/>
      <c r="AX1529" s="1042"/>
    </row>
    <row r="1530" spans="1:50">
      <c r="A1530" s="1042"/>
      <c r="Y1530" s="1042"/>
      <c r="Z1530" s="1042"/>
      <c r="AA1530" s="1042"/>
      <c r="AX1530" s="1042"/>
    </row>
    <row r="1531" spans="1:50">
      <c r="A1531" s="1042"/>
      <c r="Y1531" s="1042"/>
      <c r="Z1531" s="1042"/>
      <c r="AA1531" s="1042"/>
      <c r="AX1531" s="1042"/>
    </row>
    <row r="1532" spans="1:50">
      <c r="A1532" s="1042"/>
      <c r="Y1532" s="1042"/>
      <c r="Z1532" s="1042"/>
      <c r="AA1532" s="1042"/>
      <c r="AX1532" s="1042"/>
    </row>
    <row r="1533" spans="1:50">
      <c r="A1533" s="1042"/>
      <c r="Y1533" s="1042"/>
      <c r="Z1533" s="1042"/>
      <c r="AA1533" s="1042"/>
      <c r="AX1533" s="1042"/>
    </row>
    <row r="1534" spans="1:50">
      <c r="A1534" s="1042"/>
      <c r="Y1534" s="1042"/>
      <c r="Z1534" s="1042"/>
      <c r="AA1534" s="1042"/>
      <c r="AX1534" s="1042"/>
    </row>
    <row r="1535" spans="1:50">
      <c r="A1535" s="1042"/>
      <c r="Y1535" s="1042"/>
      <c r="Z1535" s="1042"/>
      <c r="AA1535" s="1042"/>
      <c r="AX1535" s="1042"/>
    </row>
    <row r="1536" spans="1:50">
      <c r="A1536" s="1042"/>
      <c r="Y1536" s="1042"/>
      <c r="Z1536" s="1042"/>
      <c r="AA1536" s="1042"/>
      <c r="AX1536" s="1042"/>
    </row>
    <row r="1537" spans="1:50">
      <c r="A1537" s="1042"/>
      <c r="Y1537" s="1042"/>
      <c r="Z1537" s="1042"/>
      <c r="AA1537" s="1042"/>
      <c r="AX1537" s="1042"/>
    </row>
    <row r="1538" spans="1:50">
      <c r="A1538" s="1042"/>
      <c r="Y1538" s="1042"/>
      <c r="Z1538" s="1042"/>
      <c r="AA1538" s="1042"/>
      <c r="AX1538" s="1042"/>
    </row>
    <row r="1539" spans="1:50">
      <c r="A1539" s="1042"/>
      <c r="Y1539" s="1042"/>
      <c r="Z1539" s="1042"/>
      <c r="AA1539" s="1042"/>
      <c r="AX1539" s="1042"/>
    </row>
    <row r="1540" spans="1:50">
      <c r="A1540" s="1042"/>
      <c r="Y1540" s="1042"/>
      <c r="Z1540" s="1042"/>
      <c r="AA1540" s="1042"/>
      <c r="AX1540" s="1042"/>
    </row>
    <row r="1541" spans="1:50">
      <c r="A1541" s="1042"/>
      <c r="Y1541" s="1042"/>
      <c r="Z1541" s="1042"/>
      <c r="AA1541" s="1042"/>
      <c r="AX1541" s="1042"/>
    </row>
    <row r="1542" spans="1:50">
      <c r="A1542" s="1042"/>
      <c r="Y1542" s="1042"/>
      <c r="Z1542" s="1042"/>
      <c r="AA1542" s="1042"/>
      <c r="AX1542" s="1042"/>
    </row>
    <row r="1543" spans="1:50">
      <c r="A1543" s="1042"/>
      <c r="Y1543" s="1042"/>
      <c r="Z1543" s="1042"/>
      <c r="AA1543" s="1042"/>
      <c r="AX1543" s="1042"/>
    </row>
    <row r="1544" spans="1:50">
      <c r="A1544" s="1042"/>
      <c r="Y1544" s="1042"/>
      <c r="Z1544" s="1042"/>
      <c r="AA1544" s="1042"/>
      <c r="AX1544" s="1042"/>
    </row>
    <row r="1545" spans="1:50">
      <c r="A1545" s="1042"/>
      <c r="Y1545" s="1042"/>
      <c r="Z1545" s="1042"/>
      <c r="AA1545" s="1042"/>
      <c r="AX1545" s="1042"/>
    </row>
    <row r="1546" spans="1:50">
      <c r="A1546" s="1042"/>
      <c r="Y1546" s="1042"/>
      <c r="Z1546" s="1042"/>
      <c r="AA1546" s="1042"/>
      <c r="AX1546" s="1042"/>
    </row>
    <row r="1547" spans="1:50">
      <c r="A1547" s="1042"/>
      <c r="Y1547" s="1042"/>
      <c r="Z1547" s="1042"/>
      <c r="AA1547" s="1042"/>
      <c r="AX1547" s="1042"/>
    </row>
    <row r="1548" spans="1:50">
      <c r="A1548" s="1042"/>
      <c r="Y1548" s="1042"/>
      <c r="Z1548" s="1042"/>
      <c r="AA1548" s="1042"/>
      <c r="AX1548" s="1042"/>
    </row>
    <row r="1549" spans="1:50">
      <c r="A1549" s="1042"/>
      <c r="Y1549" s="1042"/>
      <c r="Z1549" s="1042"/>
      <c r="AA1549" s="1042"/>
      <c r="AX1549" s="1042"/>
    </row>
    <row r="1550" spans="1:50">
      <c r="A1550" s="1042"/>
      <c r="Y1550" s="1042"/>
      <c r="Z1550" s="1042"/>
      <c r="AA1550" s="1042"/>
      <c r="AX1550" s="1042"/>
    </row>
    <row r="1551" spans="1:50">
      <c r="A1551" s="1042"/>
      <c r="Y1551" s="1042"/>
      <c r="Z1551" s="1042"/>
      <c r="AA1551" s="1042"/>
      <c r="AX1551" s="1042"/>
    </row>
    <row r="1552" spans="1:50">
      <c r="A1552" s="1042"/>
      <c r="Y1552" s="1042"/>
      <c r="Z1552" s="1042"/>
      <c r="AA1552" s="1042"/>
      <c r="AX1552" s="1042"/>
    </row>
    <row r="1553" spans="1:50">
      <c r="A1553" s="1042"/>
      <c r="Y1553" s="1042"/>
      <c r="Z1553" s="1042"/>
      <c r="AA1553" s="1042"/>
      <c r="AX1553" s="1042"/>
    </row>
    <row r="1554" spans="1:50">
      <c r="A1554" s="1042"/>
      <c r="Y1554" s="1042"/>
      <c r="Z1554" s="1042"/>
      <c r="AA1554" s="1042"/>
      <c r="AX1554" s="1042"/>
    </row>
    <row r="1555" spans="1:50">
      <c r="A1555" s="1042"/>
      <c r="Y1555" s="1042"/>
      <c r="Z1555" s="1042"/>
      <c r="AA1555" s="1042"/>
      <c r="AX1555" s="1042"/>
    </row>
    <row r="1556" spans="1:50">
      <c r="A1556" s="1042"/>
      <c r="Y1556" s="1042"/>
      <c r="Z1556" s="1042"/>
      <c r="AA1556" s="1042"/>
      <c r="AX1556" s="1042"/>
    </row>
    <row r="1557" spans="1:50">
      <c r="A1557" s="1042"/>
      <c r="Y1557" s="1042"/>
      <c r="Z1557" s="1042"/>
      <c r="AA1557" s="1042"/>
      <c r="AX1557" s="1042"/>
    </row>
    <row r="1558" spans="1:50">
      <c r="A1558" s="1042"/>
      <c r="Y1558" s="1042"/>
      <c r="Z1558" s="1042"/>
      <c r="AA1558" s="1042"/>
      <c r="AX1558" s="1042"/>
    </row>
    <row r="1559" spans="1:50">
      <c r="A1559" s="1042"/>
      <c r="Y1559" s="1042"/>
      <c r="Z1559" s="1042"/>
      <c r="AA1559" s="1042"/>
      <c r="AX1559" s="1042"/>
    </row>
    <row r="1560" spans="1:50">
      <c r="A1560" s="1042"/>
      <c r="Y1560" s="1042"/>
      <c r="Z1560" s="1042"/>
      <c r="AA1560" s="1042"/>
      <c r="AX1560" s="1042"/>
    </row>
    <row r="1561" spans="1:50">
      <c r="A1561" s="1042"/>
      <c r="Y1561" s="1042"/>
      <c r="Z1561" s="1042"/>
      <c r="AA1561" s="1042"/>
      <c r="AX1561" s="1042"/>
    </row>
    <row r="1562" spans="1:50">
      <c r="A1562" s="1042"/>
      <c r="Y1562" s="1042"/>
      <c r="Z1562" s="1042"/>
      <c r="AA1562" s="1042"/>
      <c r="AX1562" s="1042"/>
    </row>
    <row r="1563" spans="1:50">
      <c r="A1563" s="1042"/>
      <c r="Y1563" s="1042"/>
      <c r="Z1563" s="1042"/>
      <c r="AA1563" s="1042"/>
      <c r="AX1563" s="1042"/>
    </row>
    <row r="1564" spans="1:50">
      <c r="A1564" s="1042"/>
      <c r="Y1564" s="1042"/>
      <c r="Z1564" s="1042"/>
      <c r="AA1564" s="1042"/>
      <c r="AX1564" s="1042"/>
    </row>
    <row r="1565" spans="1:50">
      <c r="A1565" s="1042"/>
      <c r="Y1565" s="1042"/>
      <c r="Z1565" s="1042"/>
      <c r="AA1565" s="1042"/>
      <c r="AX1565" s="1042"/>
    </row>
    <row r="1566" spans="1:50">
      <c r="A1566" s="1042"/>
      <c r="Y1566" s="1042"/>
      <c r="Z1566" s="1042"/>
      <c r="AA1566" s="1042"/>
      <c r="AX1566" s="1042"/>
    </row>
    <row r="1567" spans="1:50">
      <c r="A1567" s="1042"/>
      <c r="Y1567" s="1042"/>
      <c r="Z1567" s="1042"/>
      <c r="AA1567" s="1042"/>
      <c r="AX1567" s="1042"/>
    </row>
    <row r="1568" spans="1:50">
      <c r="Y1568" s="1042"/>
      <c r="Z1568" s="1042"/>
      <c r="AA1568" s="1042"/>
      <c r="AX1568" s="1042"/>
    </row>
    <row r="1569" spans="25:50">
      <c r="Y1569" s="1042"/>
      <c r="Z1569" s="1042"/>
      <c r="AA1569" s="1042"/>
      <c r="AX1569" s="1042"/>
    </row>
    <row r="1570" spans="25:50">
      <c r="Y1570" s="1042"/>
      <c r="Z1570" s="1042"/>
      <c r="AA1570" s="1042"/>
      <c r="AX1570" s="1042"/>
    </row>
    <row r="1571" spans="25:50">
      <c r="Y1571" s="1042"/>
      <c r="Z1571" s="1042"/>
      <c r="AA1571" s="1042"/>
      <c r="AX1571" s="1042"/>
    </row>
    <row r="1572" spans="25:50">
      <c r="Y1572" s="1042"/>
      <c r="Z1572" s="1042"/>
      <c r="AA1572" s="1042"/>
      <c r="AX1572" s="1042"/>
    </row>
    <row r="1573" spans="25:50">
      <c r="Y1573" s="1042"/>
      <c r="Z1573" s="1042"/>
      <c r="AA1573" s="1042"/>
      <c r="AX1573" s="1042"/>
    </row>
    <row r="1574" spans="25:50">
      <c r="Y1574" s="1042"/>
      <c r="Z1574" s="1042"/>
      <c r="AA1574" s="1042"/>
      <c r="AX1574" s="1042"/>
    </row>
    <row r="1575" spans="25:50">
      <c r="Y1575" s="1042"/>
      <c r="Z1575" s="1042"/>
      <c r="AA1575" s="1042"/>
      <c r="AX1575" s="1042"/>
    </row>
    <row r="1576" spans="25:50">
      <c r="Y1576" s="1042"/>
      <c r="Z1576" s="1042"/>
      <c r="AA1576" s="1042"/>
      <c r="AX1576" s="1042"/>
    </row>
    <row r="1577" spans="25:50">
      <c r="Y1577" s="1042"/>
      <c r="Z1577" s="1042"/>
      <c r="AA1577" s="1042"/>
      <c r="AX1577" s="1042"/>
    </row>
    <row r="1578" spans="25:50">
      <c r="Y1578" s="1042"/>
      <c r="Z1578" s="1042"/>
      <c r="AA1578" s="1042"/>
      <c r="AX1578" s="1042"/>
    </row>
    <row r="1579" spans="25:50">
      <c r="Y1579" s="1042"/>
      <c r="Z1579" s="1042"/>
      <c r="AA1579" s="1042"/>
      <c r="AX1579" s="1042"/>
    </row>
    <row r="1580" spans="25:50">
      <c r="Y1580" s="1042"/>
      <c r="Z1580" s="1042"/>
      <c r="AA1580" s="1042"/>
      <c r="AX1580" s="1042"/>
    </row>
    <row r="1581" spans="25:50">
      <c r="Y1581" s="1042"/>
      <c r="Z1581" s="1042"/>
      <c r="AA1581" s="1042"/>
      <c r="AX1581" s="1042"/>
    </row>
    <row r="1582" spans="25:50">
      <c r="Y1582" s="1042"/>
      <c r="Z1582" s="1042"/>
      <c r="AA1582" s="1042"/>
      <c r="AX1582" s="1042"/>
    </row>
    <row r="1583" spans="25:50">
      <c r="Y1583" s="1042"/>
      <c r="Z1583" s="1042"/>
      <c r="AA1583" s="1042"/>
      <c r="AX1583" s="1042"/>
    </row>
    <row r="1584" spans="25:50">
      <c r="Y1584" s="1042"/>
      <c r="Z1584" s="1042"/>
      <c r="AA1584" s="1042"/>
      <c r="AX1584" s="1042"/>
    </row>
    <row r="1585" spans="25:50">
      <c r="Y1585" s="1042"/>
      <c r="Z1585" s="1042"/>
      <c r="AA1585" s="1042"/>
      <c r="AX1585" s="1042"/>
    </row>
    <row r="1586" spans="25:50">
      <c r="Y1586" s="1042"/>
      <c r="Z1586" s="1042"/>
      <c r="AA1586" s="1042"/>
      <c r="AX1586" s="1042"/>
    </row>
    <row r="1587" spans="25:50">
      <c r="Y1587" s="1042"/>
      <c r="Z1587" s="1042"/>
      <c r="AA1587" s="1042"/>
      <c r="AX1587" s="1042"/>
    </row>
    <row r="1588" spans="25:50">
      <c r="Y1588" s="1042"/>
      <c r="Z1588" s="1042"/>
      <c r="AA1588" s="1042"/>
      <c r="AX1588" s="1042"/>
    </row>
    <row r="1589" spans="25:50">
      <c r="Y1589" s="1042"/>
      <c r="Z1589" s="1042"/>
      <c r="AA1589" s="1042"/>
      <c r="AX1589" s="1042"/>
    </row>
    <row r="1590" spans="25:50">
      <c r="Y1590" s="1042"/>
      <c r="Z1590" s="1042"/>
      <c r="AA1590" s="1042"/>
      <c r="AX1590" s="1042"/>
    </row>
    <row r="1591" spans="25:50">
      <c r="Y1591" s="1042"/>
      <c r="Z1591" s="1042"/>
      <c r="AA1591" s="1042"/>
      <c r="AX1591" s="1042"/>
    </row>
    <row r="1592" spans="25:50">
      <c r="Y1592" s="1042"/>
      <c r="Z1592" s="1042"/>
      <c r="AA1592" s="1042"/>
      <c r="AX1592" s="1042"/>
    </row>
    <row r="1593" spans="25:50">
      <c r="Y1593" s="1042"/>
      <c r="Z1593" s="1042"/>
      <c r="AA1593" s="1042"/>
      <c r="AX1593" s="1042"/>
    </row>
    <row r="1594" spans="25:50">
      <c r="Y1594" s="1042"/>
      <c r="Z1594" s="1042"/>
      <c r="AA1594" s="1042"/>
      <c r="AX1594" s="1042"/>
    </row>
    <row r="1595" spans="25:50">
      <c r="Y1595" s="1042"/>
      <c r="Z1595" s="1042"/>
      <c r="AA1595" s="1042"/>
      <c r="AX1595" s="1042"/>
    </row>
    <row r="1596" spans="25:50">
      <c r="Y1596" s="1042"/>
      <c r="Z1596" s="1042"/>
      <c r="AA1596" s="1042"/>
      <c r="AX1596" s="1042"/>
    </row>
    <row r="1597" spans="25:50">
      <c r="Y1597" s="1042"/>
      <c r="Z1597" s="1042"/>
      <c r="AA1597" s="1042"/>
      <c r="AX1597" s="1042"/>
    </row>
    <row r="1598" spans="25:50">
      <c r="Y1598" s="1042"/>
      <c r="Z1598" s="1042"/>
      <c r="AA1598" s="1042"/>
      <c r="AX1598" s="1042"/>
    </row>
    <row r="1599" spans="25:50">
      <c r="Y1599" s="1042"/>
      <c r="Z1599" s="1042"/>
      <c r="AA1599" s="1042"/>
      <c r="AX1599" s="1042"/>
    </row>
    <row r="1600" spans="25:50">
      <c r="Y1600" s="1042"/>
      <c r="Z1600" s="1042"/>
      <c r="AA1600" s="1042"/>
      <c r="AX1600" s="1042"/>
    </row>
    <row r="1601" spans="25:50">
      <c r="Y1601" s="1042"/>
      <c r="Z1601" s="1042"/>
      <c r="AA1601" s="1042"/>
      <c r="AX1601" s="1042"/>
    </row>
    <row r="1602" spans="25:50">
      <c r="Y1602" s="1042"/>
      <c r="Z1602" s="1042"/>
      <c r="AA1602" s="1042"/>
      <c r="AX1602" s="1042"/>
    </row>
    <row r="1603" spans="25:50">
      <c r="Y1603" s="1042"/>
      <c r="Z1603" s="1042"/>
      <c r="AA1603" s="1042"/>
      <c r="AX1603" s="1042"/>
    </row>
    <row r="1604" spans="25:50">
      <c r="Y1604" s="1042"/>
      <c r="Z1604" s="1042"/>
      <c r="AA1604" s="1042"/>
      <c r="AX1604" s="1042"/>
    </row>
    <row r="1605" spans="25:50">
      <c r="Y1605" s="1042"/>
      <c r="Z1605" s="1042"/>
      <c r="AA1605" s="1042"/>
      <c r="AX1605" s="1042"/>
    </row>
    <row r="1606" spans="25:50">
      <c r="Y1606" s="1042"/>
      <c r="Z1606" s="1042"/>
      <c r="AA1606" s="1042"/>
      <c r="AX1606" s="1042"/>
    </row>
    <row r="1607" spans="25:50">
      <c r="Y1607" s="1042"/>
      <c r="Z1607" s="1042"/>
      <c r="AA1607" s="1042"/>
      <c r="AX1607" s="1042"/>
    </row>
    <row r="1608" spans="25:50">
      <c r="Y1608" s="1042"/>
      <c r="Z1608" s="1042"/>
      <c r="AA1608" s="1042"/>
      <c r="AX1608" s="1042"/>
    </row>
    <row r="1609" spans="25:50">
      <c r="Y1609" s="1042"/>
      <c r="Z1609" s="1042"/>
      <c r="AA1609" s="1042"/>
      <c r="AX1609" s="1042"/>
    </row>
    <row r="1610" spans="25:50">
      <c r="Y1610" s="1042"/>
      <c r="Z1610" s="1042"/>
      <c r="AA1610" s="1042"/>
      <c r="AX1610" s="1042"/>
    </row>
    <row r="1611" spans="25:50">
      <c r="Y1611" s="1042"/>
      <c r="Z1611" s="1042"/>
      <c r="AA1611" s="1042"/>
      <c r="AX1611" s="1042"/>
    </row>
    <row r="1612" spans="25:50">
      <c r="Y1612" s="1042"/>
      <c r="Z1612" s="1042"/>
      <c r="AA1612" s="1042"/>
      <c r="AX1612" s="1042"/>
    </row>
    <row r="1613" spans="25:50">
      <c r="Y1613" s="1042"/>
      <c r="Z1613" s="1042"/>
      <c r="AA1613" s="1042"/>
      <c r="AX1613" s="1042"/>
    </row>
    <row r="1614" spans="25:50">
      <c r="Y1614" s="1042"/>
      <c r="Z1614" s="1042"/>
      <c r="AA1614" s="1042"/>
      <c r="AX1614" s="1042"/>
    </row>
    <row r="1615" spans="25:50">
      <c r="Y1615" s="1042"/>
      <c r="Z1615" s="1042"/>
      <c r="AA1615" s="1042"/>
      <c r="AX1615" s="1042"/>
    </row>
    <row r="1616" spans="25:50">
      <c r="Y1616" s="1042"/>
      <c r="Z1616" s="1042"/>
      <c r="AA1616" s="1042"/>
      <c r="AX1616" s="1042"/>
    </row>
    <row r="1617" spans="25:50">
      <c r="Y1617" s="1042"/>
      <c r="Z1617" s="1042"/>
      <c r="AA1617" s="1042"/>
      <c r="AX1617" s="1042"/>
    </row>
    <row r="1618" spans="25:50">
      <c r="Y1618" s="1042"/>
      <c r="Z1618" s="1042"/>
      <c r="AA1618" s="1042"/>
      <c r="AX1618" s="1042"/>
    </row>
    <row r="1619" spans="25:50">
      <c r="Y1619" s="1042"/>
      <c r="Z1619" s="1042"/>
      <c r="AA1619" s="1042"/>
      <c r="AX1619" s="1042"/>
    </row>
    <row r="1620" spans="25:50">
      <c r="Y1620" s="1042"/>
      <c r="Z1620" s="1042"/>
      <c r="AA1620" s="1042"/>
      <c r="AX1620" s="1042"/>
    </row>
    <row r="1621" spans="25:50">
      <c r="Y1621" s="1042"/>
      <c r="Z1621" s="1042"/>
      <c r="AA1621" s="1042"/>
      <c r="AX1621" s="1042"/>
    </row>
    <row r="1622" spans="25:50">
      <c r="Y1622" s="1042"/>
      <c r="Z1622" s="1042"/>
      <c r="AA1622" s="1042"/>
      <c r="AX1622" s="1042"/>
    </row>
    <row r="1623" spans="25:50">
      <c r="Y1623" s="1042"/>
      <c r="Z1623" s="1042"/>
      <c r="AA1623" s="1042"/>
      <c r="AX1623" s="1042"/>
    </row>
    <row r="1624" spans="25:50">
      <c r="Y1624" s="1042"/>
      <c r="Z1624" s="1042"/>
      <c r="AA1624" s="1042"/>
      <c r="AX1624" s="1042"/>
    </row>
    <row r="1625" spans="25:50">
      <c r="Y1625" s="1042"/>
      <c r="Z1625" s="1042"/>
      <c r="AA1625" s="1042"/>
      <c r="AX1625" s="1042"/>
    </row>
    <row r="1626" spans="25:50">
      <c r="Y1626" s="1042"/>
      <c r="Z1626" s="1042"/>
      <c r="AA1626" s="1042"/>
      <c r="AX1626" s="1042"/>
    </row>
    <row r="1627" spans="25:50">
      <c r="Y1627" s="1042"/>
      <c r="Z1627" s="1042"/>
      <c r="AA1627" s="1042"/>
      <c r="AX1627" s="1042"/>
    </row>
    <row r="1628" spans="25:50">
      <c r="Y1628" s="1042"/>
      <c r="Z1628" s="1042"/>
      <c r="AA1628" s="1042"/>
      <c r="AX1628" s="1042"/>
    </row>
    <row r="1629" spans="25:50">
      <c r="Y1629" s="1042"/>
      <c r="Z1629" s="1042"/>
      <c r="AA1629" s="1042"/>
      <c r="AX1629" s="1042"/>
    </row>
    <row r="1630" spans="25:50">
      <c r="Y1630" s="1042"/>
      <c r="Z1630" s="1042"/>
      <c r="AA1630" s="1042"/>
      <c r="AX1630" s="1042"/>
    </row>
    <row r="1631" spans="25:50">
      <c r="Y1631" s="1042"/>
      <c r="Z1631" s="1042"/>
      <c r="AA1631" s="1042"/>
      <c r="AX1631" s="1042"/>
    </row>
    <row r="1632" spans="25:50">
      <c r="Y1632" s="1042"/>
      <c r="Z1632" s="1042"/>
      <c r="AA1632" s="1042"/>
      <c r="AX1632" s="1042"/>
    </row>
    <row r="1633" spans="25:50">
      <c r="Y1633" s="1042"/>
      <c r="Z1633" s="1042"/>
      <c r="AA1633" s="1042"/>
      <c r="AX1633" s="1042"/>
    </row>
    <row r="1634" spans="25:50">
      <c r="Y1634" s="1042"/>
      <c r="Z1634" s="1042"/>
      <c r="AA1634" s="1042"/>
      <c r="AX1634" s="1042"/>
    </row>
    <row r="1635" spans="25:50">
      <c r="Y1635" s="1042"/>
      <c r="Z1635" s="1042"/>
      <c r="AA1635" s="1042"/>
      <c r="AX1635" s="1042"/>
    </row>
    <row r="1636" spans="25:50">
      <c r="Y1636" s="1042"/>
      <c r="Z1636" s="1042"/>
      <c r="AA1636" s="1042"/>
      <c r="AX1636" s="1042"/>
    </row>
    <row r="1637" spans="25:50">
      <c r="Y1637" s="1042"/>
      <c r="Z1637" s="1042"/>
      <c r="AA1637" s="1042"/>
      <c r="AX1637" s="1042"/>
    </row>
    <row r="1638" spans="25:50">
      <c r="Y1638" s="1042"/>
      <c r="Z1638" s="1042"/>
      <c r="AA1638" s="1042"/>
      <c r="AX1638" s="1042"/>
    </row>
    <row r="1639" spans="25:50">
      <c r="Y1639" s="1042"/>
      <c r="Z1639" s="1042"/>
      <c r="AA1639" s="1042"/>
      <c r="AX1639" s="1042"/>
    </row>
    <row r="1640" spans="25:50">
      <c r="Y1640" s="1042"/>
      <c r="Z1640" s="1042"/>
      <c r="AA1640" s="1042"/>
      <c r="AX1640" s="1042"/>
    </row>
    <row r="1641" spans="25:50">
      <c r="Y1641" s="1042"/>
      <c r="Z1641" s="1042"/>
      <c r="AA1641" s="1042"/>
      <c r="AX1641" s="1042"/>
    </row>
    <row r="1642" spans="25:50">
      <c r="Y1642" s="1042"/>
      <c r="Z1642" s="1042"/>
      <c r="AA1642" s="1042"/>
      <c r="AX1642" s="1042"/>
    </row>
    <row r="1643" spans="25:50">
      <c r="Y1643" s="1042"/>
      <c r="Z1643" s="1042"/>
      <c r="AA1643" s="1042"/>
      <c r="AX1643" s="1042"/>
    </row>
    <row r="1644" spans="25:50">
      <c r="Y1644" s="1042"/>
      <c r="Z1644" s="1042"/>
      <c r="AA1644" s="1042"/>
      <c r="AX1644" s="1042"/>
    </row>
    <row r="1645" spans="25:50">
      <c r="Y1645" s="1042"/>
      <c r="Z1645" s="1042"/>
      <c r="AA1645" s="1042"/>
      <c r="AX1645" s="1042"/>
    </row>
    <row r="1646" spans="25:50">
      <c r="Y1646" s="1042"/>
      <c r="Z1646" s="1042"/>
      <c r="AA1646" s="1042"/>
      <c r="AX1646" s="1042"/>
    </row>
    <row r="1647" spans="25:50">
      <c r="Y1647" s="1042"/>
      <c r="Z1647" s="1042"/>
      <c r="AA1647" s="1042"/>
      <c r="AX1647" s="1042"/>
    </row>
    <row r="1648" spans="25:50">
      <c r="Y1648" s="1042"/>
      <c r="Z1648" s="1042"/>
      <c r="AA1648" s="1042"/>
      <c r="AX1648" s="1042"/>
    </row>
    <row r="1649" spans="25:50">
      <c r="Y1649" s="1042"/>
      <c r="Z1649" s="1042"/>
      <c r="AA1649" s="1042"/>
      <c r="AX1649" s="1042"/>
    </row>
    <row r="1650" spans="25:50">
      <c r="Y1650" s="1042"/>
      <c r="Z1650" s="1042"/>
      <c r="AA1650" s="1042"/>
      <c r="AX1650" s="1042"/>
    </row>
    <row r="1651" spans="25:50">
      <c r="Y1651" s="1042"/>
      <c r="Z1651" s="1042"/>
      <c r="AA1651" s="1042"/>
      <c r="AX1651" s="1042"/>
    </row>
    <row r="1652" spans="25:50">
      <c r="Y1652" s="1042"/>
      <c r="Z1652" s="1042"/>
      <c r="AA1652" s="1042"/>
      <c r="AX1652" s="1042"/>
    </row>
    <row r="1653" spans="25:50">
      <c r="Y1653" s="1042"/>
      <c r="Z1653" s="1042"/>
      <c r="AA1653" s="1042"/>
      <c r="AX1653" s="1042"/>
    </row>
    <row r="1654" spans="25:50">
      <c r="Y1654" s="1042"/>
      <c r="Z1654" s="1042"/>
      <c r="AA1654" s="1042"/>
      <c r="AX1654" s="1042"/>
    </row>
    <row r="1655" spans="25:50">
      <c r="Y1655" s="1042"/>
      <c r="Z1655" s="1042"/>
      <c r="AA1655" s="1042"/>
      <c r="AX1655" s="1042"/>
    </row>
    <row r="1656" spans="25:50">
      <c r="Y1656" s="1042"/>
      <c r="Z1656" s="1042"/>
      <c r="AA1656" s="1042"/>
      <c r="AX1656" s="1042"/>
    </row>
    <row r="1657" spans="25:50">
      <c r="Y1657" s="1042"/>
      <c r="Z1657" s="1042"/>
      <c r="AA1657" s="1042"/>
      <c r="AX1657" s="1042"/>
    </row>
    <row r="1658" spans="25:50">
      <c r="Y1658" s="1042"/>
      <c r="Z1658" s="1042"/>
      <c r="AA1658" s="1042"/>
      <c r="AX1658" s="1042"/>
    </row>
    <row r="1659" spans="25:50">
      <c r="Y1659" s="1042"/>
      <c r="Z1659" s="1042"/>
      <c r="AA1659" s="1042"/>
      <c r="AX1659" s="1042"/>
    </row>
    <row r="1660" spans="25:50">
      <c r="Y1660" s="1042"/>
      <c r="Z1660" s="1042"/>
      <c r="AA1660" s="1042"/>
      <c r="AX1660" s="1042"/>
    </row>
    <row r="1661" spans="25:50">
      <c r="Y1661" s="1042"/>
      <c r="Z1661" s="1042"/>
      <c r="AA1661" s="1042"/>
      <c r="AX1661" s="1042"/>
    </row>
    <row r="1662" spans="25:50">
      <c r="Y1662" s="1042"/>
      <c r="Z1662" s="1042"/>
      <c r="AA1662" s="1042"/>
      <c r="AX1662" s="1042"/>
    </row>
    <row r="1663" spans="25:50">
      <c r="Y1663" s="1042"/>
      <c r="Z1663" s="1042"/>
      <c r="AA1663" s="1042"/>
      <c r="AX1663" s="1042"/>
    </row>
    <row r="1664" spans="25:50">
      <c r="Y1664" s="1042"/>
      <c r="Z1664" s="1042"/>
      <c r="AA1664" s="1042"/>
      <c r="AX1664" s="1042"/>
    </row>
    <row r="1665" spans="25:50">
      <c r="Y1665" s="1042"/>
      <c r="Z1665" s="1042"/>
      <c r="AA1665" s="1042"/>
      <c r="AX1665" s="1042"/>
    </row>
    <row r="1666" spans="25:50">
      <c r="Y1666" s="1042"/>
      <c r="Z1666" s="1042"/>
      <c r="AA1666" s="1042"/>
      <c r="AX1666" s="1042"/>
    </row>
    <row r="1667" spans="25:50">
      <c r="Y1667" s="1042"/>
      <c r="Z1667" s="1042"/>
      <c r="AA1667" s="1042"/>
      <c r="AX1667" s="1042"/>
    </row>
    <row r="1668" spans="25:50">
      <c r="Y1668" s="1042"/>
      <c r="Z1668" s="1042"/>
      <c r="AA1668" s="1042"/>
      <c r="AX1668" s="1042"/>
    </row>
    <row r="1669" spans="25:50">
      <c r="Y1669" s="1042"/>
      <c r="Z1669" s="1042"/>
      <c r="AA1669" s="1042"/>
      <c r="AX1669" s="1042"/>
    </row>
    <row r="1670" spans="25:50">
      <c r="Y1670" s="1042"/>
      <c r="Z1670" s="1042"/>
      <c r="AA1670" s="1042"/>
      <c r="AX1670" s="1042"/>
    </row>
    <row r="1671" spans="25:50">
      <c r="Y1671" s="1042"/>
      <c r="Z1671" s="1042"/>
      <c r="AA1671" s="1042"/>
      <c r="AX1671" s="1042"/>
    </row>
    <row r="1672" spans="25:50">
      <c r="Y1672" s="1042"/>
      <c r="Z1672" s="1042"/>
      <c r="AA1672" s="1042"/>
      <c r="AX1672" s="1042"/>
    </row>
    <row r="1673" spans="25:50">
      <c r="Y1673" s="1042"/>
      <c r="Z1673" s="1042"/>
      <c r="AA1673" s="1042"/>
      <c r="AX1673" s="1042"/>
    </row>
    <row r="1674" spans="25:50">
      <c r="Y1674" s="1042"/>
      <c r="Z1674" s="1042"/>
      <c r="AA1674" s="1042"/>
      <c r="AX1674" s="1042"/>
    </row>
    <row r="1675" spans="25:50">
      <c r="Y1675" s="1042"/>
      <c r="Z1675" s="1042"/>
      <c r="AA1675" s="1042"/>
      <c r="AX1675" s="1042"/>
    </row>
    <row r="1676" spans="25:50">
      <c r="Y1676" s="1042"/>
      <c r="Z1676" s="1042"/>
      <c r="AA1676" s="1042"/>
      <c r="AX1676" s="1042"/>
    </row>
    <row r="1677" spans="25:50">
      <c r="Y1677" s="1042"/>
      <c r="Z1677" s="1042"/>
      <c r="AA1677" s="1042"/>
      <c r="AX1677" s="1042"/>
    </row>
    <row r="1678" spans="25:50">
      <c r="Y1678" s="1042"/>
      <c r="Z1678" s="1042"/>
      <c r="AA1678" s="1042"/>
      <c r="AX1678" s="1042"/>
    </row>
    <row r="1679" spans="25:50">
      <c r="Y1679" s="1042"/>
      <c r="Z1679" s="1042"/>
      <c r="AA1679" s="1042"/>
      <c r="AX1679" s="1042"/>
    </row>
    <row r="1680" spans="25:50">
      <c r="Y1680" s="1042"/>
      <c r="Z1680" s="1042"/>
      <c r="AA1680" s="1042"/>
      <c r="AX1680" s="1042"/>
    </row>
    <row r="1681" spans="25:50">
      <c r="Y1681" s="1042"/>
      <c r="Z1681" s="1042"/>
      <c r="AA1681" s="1042"/>
      <c r="AX1681" s="1042"/>
    </row>
    <row r="1682" spans="25:50">
      <c r="Y1682" s="1042"/>
      <c r="Z1682" s="1042"/>
      <c r="AA1682" s="1042"/>
      <c r="AX1682" s="1042"/>
    </row>
    <row r="1683" spans="25:50">
      <c r="Y1683" s="1042"/>
      <c r="Z1683" s="1042"/>
      <c r="AA1683" s="1042"/>
      <c r="AX1683" s="1042"/>
    </row>
    <row r="1684" spans="25:50">
      <c r="Y1684" s="1042"/>
      <c r="Z1684" s="1042"/>
      <c r="AA1684" s="1042"/>
      <c r="AX1684" s="1042"/>
    </row>
    <row r="1685" spans="25:50">
      <c r="Y1685" s="1042"/>
      <c r="Z1685" s="1042"/>
      <c r="AA1685" s="1042"/>
      <c r="AX1685" s="1042"/>
    </row>
    <row r="1686" spans="25:50">
      <c r="Y1686" s="1042"/>
      <c r="Z1686" s="1042"/>
      <c r="AA1686" s="1042"/>
      <c r="AX1686" s="1042"/>
    </row>
    <row r="1687" spans="25:50">
      <c r="Y1687" s="1042"/>
      <c r="Z1687" s="1042"/>
      <c r="AA1687" s="1042"/>
      <c r="AX1687" s="1042"/>
    </row>
    <row r="1688" spans="25:50">
      <c r="Y1688" s="1042"/>
      <c r="Z1688" s="1042"/>
      <c r="AA1688" s="1042"/>
      <c r="AX1688" s="1042"/>
    </row>
    <row r="1689" spans="25:50">
      <c r="Y1689" s="1042"/>
      <c r="Z1689" s="1042"/>
      <c r="AA1689" s="1042"/>
      <c r="AX1689" s="1042"/>
    </row>
    <row r="1690" spans="25:50">
      <c r="Y1690" s="1042"/>
      <c r="Z1690" s="1042"/>
      <c r="AA1690" s="1042"/>
      <c r="AX1690" s="1042"/>
    </row>
    <row r="1691" spans="25:50">
      <c r="Y1691" s="1042"/>
      <c r="Z1691" s="1042"/>
      <c r="AA1691" s="1042"/>
      <c r="AX1691" s="1042"/>
    </row>
    <row r="1692" spans="25:50">
      <c r="Y1692" s="1042"/>
      <c r="Z1692" s="1042"/>
      <c r="AA1692" s="1042"/>
      <c r="AX1692" s="1042"/>
    </row>
    <row r="1693" spans="25:50">
      <c r="Y1693" s="1042"/>
      <c r="Z1693" s="1042"/>
      <c r="AA1693" s="1042"/>
      <c r="AX1693" s="1042"/>
    </row>
    <row r="1694" spans="25:50">
      <c r="Y1694" s="1042"/>
      <c r="Z1694" s="1042"/>
      <c r="AA1694" s="1042"/>
      <c r="AX1694" s="1042"/>
    </row>
    <row r="1695" spans="25:50">
      <c r="Y1695" s="1042"/>
      <c r="Z1695" s="1042"/>
      <c r="AA1695" s="1042"/>
      <c r="AX1695" s="1042"/>
    </row>
    <row r="1696" spans="25:50">
      <c r="Y1696" s="1042"/>
      <c r="Z1696" s="1042"/>
      <c r="AA1696" s="1042"/>
      <c r="AX1696" s="1042"/>
    </row>
    <row r="1697" spans="25:50">
      <c r="Y1697" s="1042"/>
      <c r="Z1697" s="1042"/>
      <c r="AA1697" s="1042"/>
      <c r="AX1697" s="1042"/>
    </row>
    <row r="1698" spans="25:50">
      <c r="Y1698" s="1042"/>
      <c r="Z1698" s="1042"/>
      <c r="AA1698" s="1042"/>
      <c r="AX1698" s="1042"/>
    </row>
    <row r="1699" spans="25:50">
      <c r="Y1699" s="1042"/>
      <c r="Z1699" s="1042"/>
      <c r="AA1699" s="1042"/>
      <c r="AX1699" s="1042"/>
    </row>
    <row r="1700" spans="25:50">
      <c r="Y1700" s="1042"/>
      <c r="Z1700" s="1042"/>
      <c r="AA1700" s="1042"/>
      <c r="AX1700" s="1042"/>
    </row>
    <row r="1701" spans="25:50">
      <c r="Y1701" s="1042"/>
      <c r="Z1701" s="1042"/>
      <c r="AA1701" s="1042"/>
      <c r="AX1701" s="1042"/>
    </row>
    <row r="1702" spans="25:50">
      <c r="Y1702" s="1042"/>
      <c r="Z1702" s="1042"/>
      <c r="AA1702" s="1042"/>
      <c r="AX1702" s="1042"/>
    </row>
    <row r="1703" spans="25:50">
      <c r="Y1703" s="1042"/>
      <c r="Z1703" s="1042"/>
      <c r="AA1703" s="1042"/>
      <c r="AX1703" s="1042"/>
    </row>
    <row r="1704" spans="25:50">
      <c r="Y1704" s="1042"/>
      <c r="Z1704" s="1042"/>
      <c r="AA1704" s="1042"/>
      <c r="AX1704" s="1042"/>
    </row>
    <row r="1705" spans="25:50">
      <c r="Y1705" s="1042"/>
      <c r="Z1705" s="1042"/>
      <c r="AA1705" s="1042"/>
      <c r="AX1705" s="1042"/>
    </row>
    <row r="1706" spans="25:50">
      <c r="Y1706" s="1042"/>
      <c r="Z1706" s="1042"/>
      <c r="AA1706" s="1042"/>
      <c r="AX1706" s="1042"/>
    </row>
    <row r="1707" spans="25:50">
      <c r="Y1707" s="1042"/>
      <c r="Z1707" s="1042"/>
      <c r="AA1707" s="1042"/>
      <c r="AX1707" s="1042"/>
    </row>
    <row r="1708" spans="25:50">
      <c r="Y1708" s="1042"/>
      <c r="Z1708" s="1042"/>
      <c r="AA1708" s="1042"/>
      <c r="AX1708" s="1042"/>
    </row>
    <row r="1709" spans="25:50">
      <c r="Y1709" s="1042"/>
      <c r="Z1709" s="1042"/>
      <c r="AA1709" s="1042"/>
      <c r="AX1709" s="1042"/>
    </row>
    <row r="1710" spans="25:50">
      <c r="Y1710" s="1042"/>
      <c r="Z1710" s="1042"/>
      <c r="AA1710" s="1042"/>
      <c r="AX1710" s="1042"/>
    </row>
    <row r="1711" spans="25:50">
      <c r="Y1711" s="1042"/>
      <c r="Z1711" s="1042"/>
      <c r="AA1711" s="1042"/>
      <c r="AX1711" s="1042"/>
    </row>
    <row r="1712" spans="25:50">
      <c r="Y1712" s="1042"/>
      <c r="Z1712" s="1042"/>
      <c r="AA1712" s="1042"/>
      <c r="AX1712" s="1042"/>
    </row>
    <row r="1713" spans="25:50">
      <c r="Y1713" s="1042"/>
      <c r="Z1713" s="1042"/>
      <c r="AA1713" s="1042"/>
      <c r="AX1713" s="1042"/>
    </row>
    <row r="1714" spans="25:50">
      <c r="Y1714" s="1042"/>
      <c r="Z1714" s="1042"/>
      <c r="AA1714" s="1042"/>
      <c r="AX1714" s="1042"/>
    </row>
    <row r="1715" spans="25:50">
      <c r="Y1715" s="1042"/>
      <c r="Z1715" s="1042"/>
      <c r="AA1715" s="1042"/>
      <c r="AX1715" s="1042"/>
    </row>
    <row r="1716" spans="25:50">
      <c r="Y1716" s="1042"/>
      <c r="Z1716" s="1042"/>
      <c r="AA1716" s="1042"/>
      <c r="AX1716" s="1042"/>
    </row>
    <row r="1717" spans="25:50">
      <c r="Y1717" s="1042"/>
      <c r="Z1717" s="1042"/>
      <c r="AA1717" s="1042"/>
      <c r="AX1717" s="1042"/>
    </row>
    <row r="1718" spans="25:50">
      <c r="Y1718" s="1042"/>
      <c r="Z1718" s="1042"/>
      <c r="AA1718" s="1042"/>
      <c r="AX1718" s="1042"/>
    </row>
    <row r="1719" spans="25:50">
      <c r="Y1719" s="1042"/>
      <c r="Z1719" s="1042"/>
      <c r="AA1719" s="1042"/>
      <c r="AX1719" s="1042"/>
    </row>
    <row r="1720" spans="25:50">
      <c r="Y1720" s="1042"/>
      <c r="Z1720" s="1042"/>
      <c r="AA1720" s="1042"/>
      <c r="AX1720" s="1042"/>
    </row>
    <row r="1721" spans="25:50">
      <c r="Y1721" s="1042"/>
      <c r="Z1721" s="1042"/>
      <c r="AA1721" s="1042"/>
      <c r="AX1721" s="1042"/>
    </row>
    <row r="1722" spans="25:50">
      <c r="Y1722" s="1042"/>
      <c r="Z1722" s="1042"/>
      <c r="AA1722" s="1042"/>
      <c r="AX1722" s="1042"/>
    </row>
    <row r="1723" spans="25:50">
      <c r="Y1723" s="1042"/>
      <c r="Z1723" s="1042"/>
      <c r="AA1723" s="1042"/>
      <c r="AX1723" s="1042"/>
    </row>
    <row r="1724" spans="25:50">
      <c r="Y1724" s="1042"/>
      <c r="Z1724" s="1042"/>
      <c r="AA1724" s="1042"/>
      <c r="AX1724" s="1042"/>
    </row>
    <row r="1725" spans="25:50">
      <c r="Y1725" s="1042"/>
      <c r="Z1725" s="1042"/>
      <c r="AA1725" s="1042"/>
      <c r="AX1725" s="1042"/>
    </row>
    <row r="1726" spans="25:50">
      <c r="Y1726" s="1042"/>
      <c r="Z1726" s="1042"/>
      <c r="AA1726" s="1042"/>
      <c r="AX1726" s="1042"/>
    </row>
    <row r="1727" spans="25:50">
      <c r="Y1727" s="1042"/>
      <c r="Z1727" s="1042"/>
      <c r="AA1727" s="1042"/>
      <c r="AX1727" s="1042"/>
    </row>
    <row r="1728" spans="25:50">
      <c r="Y1728" s="1042"/>
      <c r="Z1728" s="1042"/>
      <c r="AA1728" s="1042"/>
      <c r="AX1728" s="1042"/>
    </row>
    <row r="1729" spans="25:50">
      <c r="Y1729" s="1042"/>
      <c r="Z1729" s="1042"/>
      <c r="AA1729" s="1042"/>
      <c r="AX1729" s="1042"/>
    </row>
    <row r="1730" spans="25:50">
      <c r="Y1730" s="1042"/>
      <c r="Z1730" s="1042"/>
      <c r="AA1730" s="1042"/>
      <c r="AX1730" s="1042"/>
    </row>
    <row r="1731" spans="25:50">
      <c r="Y1731" s="1042"/>
      <c r="Z1731" s="1042"/>
      <c r="AA1731" s="1042"/>
      <c r="AX1731" s="1042"/>
    </row>
    <row r="1732" spans="25:50">
      <c r="Y1732" s="1042"/>
      <c r="Z1732" s="1042"/>
      <c r="AA1732" s="1042"/>
      <c r="AX1732" s="1042"/>
    </row>
    <row r="1733" spans="25:50">
      <c r="Y1733" s="1042"/>
      <c r="Z1733" s="1042"/>
      <c r="AA1733" s="1042"/>
      <c r="AX1733" s="1042"/>
    </row>
    <row r="1734" spans="25:50">
      <c r="Y1734" s="1042"/>
      <c r="Z1734" s="1042"/>
      <c r="AA1734" s="1042"/>
      <c r="AX1734" s="1042"/>
    </row>
    <row r="1735" spans="25:50">
      <c r="Y1735" s="1042"/>
      <c r="Z1735" s="1042"/>
      <c r="AA1735" s="1042"/>
      <c r="AX1735" s="1042"/>
    </row>
    <row r="1736" spans="25:50">
      <c r="Y1736" s="1042"/>
      <c r="Z1736" s="1042"/>
      <c r="AA1736" s="1042"/>
      <c r="AX1736" s="1042"/>
    </row>
    <row r="1737" spans="25:50">
      <c r="Y1737" s="1042"/>
      <c r="Z1737" s="1042"/>
      <c r="AA1737" s="1042"/>
      <c r="AX1737" s="1042"/>
    </row>
    <row r="1738" spans="25:50">
      <c r="Y1738" s="1042"/>
      <c r="Z1738" s="1042"/>
      <c r="AA1738" s="1042"/>
      <c r="AX1738" s="1042"/>
    </row>
    <row r="1739" spans="25:50">
      <c r="Y1739" s="1042"/>
      <c r="Z1739" s="1042"/>
      <c r="AA1739" s="1042"/>
      <c r="AX1739" s="1042"/>
    </row>
    <row r="1740" spans="25:50">
      <c r="Y1740" s="1042"/>
      <c r="Z1740" s="1042"/>
      <c r="AA1740" s="1042"/>
      <c r="AX1740" s="1042"/>
    </row>
    <row r="1741" spans="25:50">
      <c r="Y1741" s="1042"/>
      <c r="Z1741" s="1042"/>
      <c r="AA1741" s="1042"/>
      <c r="AX1741" s="1042"/>
    </row>
    <row r="1742" spans="25:50">
      <c r="Y1742" s="1042"/>
      <c r="Z1742" s="1042"/>
      <c r="AA1742" s="1042"/>
      <c r="AX1742" s="1042"/>
    </row>
    <row r="1743" spans="25:50">
      <c r="Y1743" s="1042"/>
      <c r="Z1743" s="1042"/>
      <c r="AA1743" s="1042"/>
      <c r="AX1743" s="1042"/>
    </row>
    <row r="1744" spans="25:50">
      <c r="Y1744" s="1042"/>
      <c r="Z1744" s="1042"/>
      <c r="AA1744" s="1042"/>
      <c r="AX1744" s="1042"/>
    </row>
    <row r="1745" spans="25:50">
      <c r="Y1745" s="1042"/>
      <c r="Z1745" s="1042"/>
      <c r="AA1745" s="1042"/>
      <c r="AX1745" s="1042"/>
    </row>
    <row r="1746" spans="25:50">
      <c r="Y1746" s="1042"/>
      <c r="Z1746" s="1042"/>
      <c r="AA1746" s="1042"/>
      <c r="AX1746" s="1042"/>
    </row>
    <row r="1747" spans="25:50">
      <c r="Y1747" s="1042"/>
      <c r="Z1747" s="1042"/>
      <c r="AA1747" s="1042"/>
      <c r="AX1747" s="1042"/>
    </row>
    <row r="1748" spans="25:50">
      <c r="Y1748" s="1042"/>
      <c r="Z1748" s="1042"/>
      <c r="AA1748" s="1042"/>
      <c r="AX1748" s="1042"/>
    </row>
    <row r="1749" spans="25:50">
      <c r="Y1749" s="1042"/>
      <c r="Z1749" s="1042"/>
      <c r="AA1749" s="1042"/>
      <c r="AX1749" s="1042"/>
    </row>
    <row r="1750" spans="25:50">
      <c r="Y1750" s="1042"/>
      <c r="Z1750" s="1042"/>
      <c r="AA1750" s="1042"/>
      <c r="AX1750" s="1042"/>
    </row>
    <row r="1751" spans="25:50">
      <c r="Y1751" s="1042"/>
      <c r="Z1751" s="1042"/>
      <c r="AA1751" s="1042"/>
      <c r="AX1751" s="1042"/>
    </row>
    <row r="1752" spans="25:50">
      <c r="Y1752" s="1042"/>
      <c r="Z1752" s="1042"/>
      <c r="AA1752" s="1042"/>
      <c r="AX1752" s="1042"/>
    </row>
    <row r="1753" spans="25:50">
      <c r="Y1753" s="1042"/>
      <c r="Z1753" s="1042"/>
      <c r="AA1753" s="1042"/>
      <c r="AX1753" s="1042"/>
    </row>
    <row r="1754" spans="25:50">
      <c r="Y1754" s="1042"/>
      <c r="Z1754" s="1042"/>
      <c r="AA1754" s="1042"/>
      <c r="AX1754" s="1042"/>
    </row>
    <row r="1755" spans="25:50">
      <c r="Y1755" s="1042"/>
      <c r="Z1755" s="1042"/>
      <c r="AA1755" s="1042"/>
      <c r="AX1755" s="1042"/>
    </row>
    <row r="1756" spans="25:50">
      <c r="Y1756" s="1042"/>
      <c r="Z1756" s="1042"/>
      <c r="AA1756" s="1042"/>
      <c r="AX1756" s="1042"/>
    </row>
    <row r="1757" spans="25:50">
      <c r="Y1757" s="1042"/>
      <c r="Z1757" s="1042"/>
      <c r="AA1757" s="1042"/>
      <c r="AX1757" s="1042"/>
    </row>
    <row r="1758" spans="25:50">
      <c r="Y1758" s="1042"/>
      <c r="Z1758" s="1042"/>
      <c r="AA1758" s="1042"/>
      <c r="AX1758" s="1042"/>
    </row>
    <row r="1759" spans="25:50">
      <c r="Y1759" s="1042"/>
      <c r="Z1759" s="1042"/>
      <c r="AA1759" s="1042"/>
      <c r="AX1759" s="1042"/>
    </row>
    <row r="1760" spans="25:50">
      <c r="Y1760" s="1042"/>
      <c r="Z1760" s="1042"/>
      <c r="AA1760" s="1042"/>
      <c r="AX1760" s="1042"/>
    </row>
    <row r="1761" spans="25:50">
      <c r="Y1761" s="1042"/>
      <c r="Z1761" s="1042"/>
      <c r="AA1761" s="1042"/>
      <c r="AX1761" s="1042"/>
    </row>
    <row r="1762" spans="25:50">
      <c r="Y1762" s="1042"/>
      <c r="Z1762" s="1042"/>
      <c r="AA1762" s="1042"/>
      <c r="AX1762" s="1042"/>
    </row>
    <row r="1763" spans="25:50">
      <c r="Y1763" s="1042"/>
      <c r="Z1763" s="1042"/>
      <c r="AA1763" s="1042"/>
      <c r="AX1763" s="1042"/>
    </row>
    <row r="1764" spans="25:50">
      <c r="Y1764" s="1042"/>
      <c r="Z1764" s="1042"/>
      <c r="AA1764" s="1042"/>
      <c r="AX1764" s="1042"/>
    </row>
    <row r="1765" spans="25:50">
      <c r="Y1765" s="1042"/>
      <c r="Z1765" s="1042"/>
      <c r="AA1765" s="1042"/>
      <c r="AX1765" s="1042"/>
    </row>
    <row r="1766" spans="25:50">
      <c r="Y1766" s="1042"/>
      <c r="Z1766" s="1042"/>
      <c r="AA1766" s="1042"/>
      <c r="AX1766" s="1042"/>
    </row>
    <row r="1767" spans="25:50">
      <c r="Y1767" s="1042"/>
      <c r="Z1767" s="1042"/>
      <c r="AA1767" s="1042"/>
      <c r="AX1767" s="1042"/>
    </row>
    <row r="1768" spans="25:50">
      <c r="Y1768" s="1042"/>
      <c r="Z1768" s="1042"/>
      <c r="AA1768" s="1042"/>
      <c r="AX1768" s="1042"/>
    </row>
    <row r="1769" spans="25:50">
      <c r="Y1769" s="1042"/>
      <c r="Z1769" s="1042"/>
      <c r="AA1769" s="1042"/>
      <c r="AX1769" s="1042"/>
    </row>
    <row r="1770" spans="25:50">
      <c r="Y1770" s="1042"/>
      <c r="Z1770" s="1042"/>
      <c r="AA1770" s="1042"/>
      <c r="AX1770" s="1042"/>
    </row>
    <row r="1771" spans="25:50">
      <c r="Y1771" s="1042"/>
      <c r="Z1771" s="1042"/>
      <c r="AA1771" s="1042"/>
      <c r="AX1771" s="1042"/>
    </row>
    <row r="1772" spans="25:50">
      <c r="Y1772" s="1042"/>
      <c r="Z1772" s="1042"/>
      <c r="AA1772" s="1042"/>
      <c r="AX1772" s="1042"/>
    </row>
    <row r="1773" spans="25:50">
      <c r="Y1773" s="1042"/>
      <c r="Z1773" s="1042"/>
      <c r="AA1773" s="1042"/>
      <c r="AX1773" s="1042"/>
    </row>
    <row r="1774" spans="25:50">
      <c r="Y1774" s="1042"/>
      <c r="Z1774" s="1042"/>
      <c r="AA1774" s="1042"/>
      <c r="AX1774" s="1042"/>
    </row>
    <row r="1775" spans="25:50">
      <c r="Y1775" s="1042"/>
      <c r="Z1775" s="1042"/>
      <c r="AA1775" s="1042"/>
      <c r="AX1775" s="1042"/>
    </row>
    <row r="1776" spans="25:50">
      <c r="Y1776" s="1042"/>
      <c r="Z1776" s="1042"/>
      <c r="AA1776" s="1042"/>
      <c r="AX1776" s="1042"/>
    </row>
    <row r="1777" spans="25:50">
      <c r="Y1777" s="1042"/>
      <c r="Z1777" s="1042"/>
      <c r="AA1777" s="1042"/>
      <c r="AX1777" s="1042"/>
    </row>
    <row r="1778" spans="25:50">
      <c r="Y1778" s="1042"/>
      <c r="Z1778" s="1042"/>
      <c r="AA1778" s="1042"/>
      <c r="AX1778" s="1042"/>
    </row>
    <row r="1779" spans="25:50">
      <c r="Y1779" s="1042"/>
      <c r="Z1779" s="1042"/>
      <c r="AA1779" s="1042"/>
      <c r="AX1779" s="1042"/>
    </row>
    <row r="1780" spans="25:50">
      <c r="Y1780" s="1042"/>
      <c r="Z1780" s="1042"/>
      <c r="AA1780" s="1042"/>
      <c r="AX1780" s="1042"/>
    </row>
    <row r="1781" spans="25:50">
      <c r="Y1781" s="1042"/>
      <c r="Z1781" s="1042"/>
      <c r="AA1781" s="1042"/>
      <c r="AX1781" s="1042"/>
    </row>
    <row r="1782" spans="25:50">
      <c r="Y1782" s="1042"/>
      <c r="Z1782" s="1042"/>
      <c r="AA1782" s="1042"/>
      <c r="AX1782" s="1042"/>
    </row>
    <row r="1783" spans="25:50">
      <c r="Y1783" s="1042"/>
      <c r="Z1783" s="1042"/>
      <c r="AA1783" s="1042"/>
      <c r="AX1783" s="1042"/>
    </row>
    <row r="1784" spans="25:50">
      <c r="Y1784" s="1042"/>
      <c r="Z1784" s="1042"/>
      <c r="AA1784" s="1042"/>
      <c r="AX1784" s="1042"/>
    </row>
    <row r="1785" spans="25:50">
      <c r="Y1785" s="1042"/>
      <c r="Z1785" s="1042"/>
      <c r="AA1785" s="1042"/>
      <c r="AX1785" s="1042"/>
    </row>
    <row r="1786" spans="25:50">
      <c r="Y1786" s="1042"/>
      <c r="Z1786" s="1042"/>
      <c r="AA1786" s="1042"/>
      <c r="AX1786" s="1042"/>
    </row>
    <row r="1787" spans="25:50">
      <c r="Y1787" s="1042"/>
      <c r="Z1787" s="1042"/>
      <c r="AA1787" s="1042"/>
      <c r="AX1787" s="1042"/>
    </row>
    <row r="1788" spans="25:50">
      <c r="Y1788" s="1042"/>
      <c r="Z1788" s="1042"/>
      <c r="AA1788" s="1042"/>
      <c r="AX1788" s="1042"/>
    </row>
    <row r="1789" spans="25:50">
      <c r="Y1789" s="1042"/>
      <c r="Z1789" s="1042"/>
      <c r="AA1789" s="1042"/>
      <c r="AX1789" s="1042"/>
    </row>
    <row r="1790" spans="25:50">
      <c r="Y1790" s="1042"/>
      <c r="Z1790" s="1042"/>
      <c r="AA1790" s="1042"/>
      <c r="AX1790" s="1042"/>
    </row>
    <row r="1791" spans="25:50">
      <c r="Y1791" s="1042"/>
      <c r="Z1791" s="1042"/>
      <c r="AA1791" s="1042"/>
      <c r="AX1791" s="1042"/>
    </row>
    <row r="1792" spans="25:50">
      <c r="Y1792" s="1042"/>
      <c r="Z1792" s="1042"/>
      <c r="AA1792" s="1042"/>
      <c r="AX1792" s="1042"/>
    </row>
    <row r="1793" spans="25:50">
      <c r="Y1793" s="1042"/>
      <c r="Z1793" s="1042"/>
      <c r="AA1793" s="1042"/>
      <c r="AX1793" s="1042"/>
    </row>
    <row r="1794" spans="25:50">
      <c r="Y1794" s="1042"/>
      <c r="Z1794" s="1042"/>
      <c r="AA1794" s="1042"/>
      <c r="AX1794" s="1042"/>
    </row>
    <row r="1795" spans="25:50">
      <c r="Y1795" s="1042"/>
      <c r="Z1795" s="1042"/>
      <c r="AA1795" s="1042"/>
      <c r="AX1795" s="1042"/>
    </row>
    <row r="1796" spans="25:50">
      <c r="Y1796" s="1042"/>
      <c r="Z1796" s="1042"/>
      <c r="AA1796" s="1042"/>
      <c r="AX1796" s="1042"/>
    </row>
    <row r="1797" spans="25:50">
      <c r="Y1797" s="1042"/>
      <c r="Z1797" s="1042"/>
      <c r="AA1797" s="1042"/>
      <c r="AX1797" s="1042"/>
    </row>
    <row r="1798" spans="25:50">
      <c r="Y1798" s="1042"/>
      <c r="Z1798" s="1042"/>
      <c r="AA1798" s="1042"/>
      <c r="AX1798" s="1042"/>
    </row>
    <row r="1799" spans="25:50">
      <c r="Y1799" s="1042"/>
      <c r="Z1799" s="1042"/>
      <c r="AA1799" s="1042"/>
      <c r="AX1799" s="1042"/>
    </row>
    <row r="1800" spans="25:50">
      <c r="Y1800" s="1042"/>
      <c r="Z1800" s="1042"/>
      <c r="AA1800" s="1042"/>
      <c r="AX1800" s="1042"/>
    </row>
    <row r="1801" spans="25:50">
      <c r="Y1801" s="1042"/>
      <c r="Z1801" s="1042"/>
      <c r="AA1801" s="1042"/>
      <c r="AX1801" s="1042"/>
    </row>
    <row r="1802" spans="25:50">
      <c r="Y1802" s="1042"/>
      <c r="Z1802" s="1042"/>
      <c r="AA1802" s="1042"/>
      <c r="AX1802" s="1042"/>
    </row>
    <row r="1803" spans="25:50">
      <c r="Y1803" s="1042"/>
      <c r="Z1803" s="1042"/>
      <c r="AA1803" s="1042"/>
      <c r="AX1803" s="1042"/>
    </row>
    <row r="1804" spans="25:50">
      <c r="Y1804" s="1042"/>
      <c r="Z1804" s="1042"/>
      <c r="AA1804" s="1042"/>
      <c r="AX1804" s="1042"/>
    </row>
    <row r="1805" spans="25:50">
      <c r="Y1805" s="1042"/>
      <c r="Z1805" s="1042"/>
      <c r="AA1805" s="1042"/>
      <c r="AX1805" s="1042"/>
    </row>
    <row r="1806" spans="25:50">
      <c r="Y1806" s="1042"/>
      <c r="Z1806" s="1042"/>
      <c r="AA1806" s="1042"/>
      <c r="AX1806" s="1042"/>
    </row>
    <row r="1807" spans="25:50">
      <c r="Y1807" s="1042"/>
      <c r="Z1807" s="1042"/>
      <c r="AA1807" s="1042"/>
      <c r="AX1807" s="1042"/>
    </row>
    <row r="1808" spans="25:50">
      <c r="Y1808" s="1042"/>
      <c r="Z1808" s="1042"/>
      <c r="AA1808" s="1042"/>
      <c r="AX1808" s="1042"/>
    </row>
    <row r="1809" spans="25:50">
      <c r="Y1809" s="1042"/>
      <c r="Z1809" s="1042"/>
      <c r="AA1809" s="1042"/>
      <c r="AX1809" s="1042"/>
    </row>
    <row r="1810" spans="25:50">
      <c r="Y1810" s="1042"/>
      <c r="Z1810" s="1042"/>
      <c r="AA1810" s="1042"/>
      <c r="AX1810" s="1042"/>
    </row>
    <row r="1811" spans="25:50">
      <c r="Y1811" s="1042"/>
      <c r="Z1811" s="1042"/>
      <c r="AA1811" s="1042"/>
      <c r="AX1811" s="1042"/>
    </row>
    <row r="1812" spans="25:50">
      <c r="Y1812" s="1042"/>
      <c r="Z1812" s="1042"/>
      <c r="AA1812" s="1042"/>
      <c r="AX1812" s="1042"/>
    </row>
    <row r="1813" spans="25:50">
      <c r="Y1813" s="1042"/>
      <c r="Z1813" s="1042"/>
      <c r="AA1813" s="1042"/>
      <c r="AX1813" s="1042"/>
    </row>
    <row r="1814" spans="25:50">
      <c r="Y1814" s="1042"/>
      <c r="Z1814" s="1042"/>
      <c r="AA1814" s="1042"/>
      <c r="AX1814" s="1042"/>
    </row>
    <row r="1815" spans="25:50">
      <c r="Y1815" s="1042"/>
      <c r="Z1815" s="1042"/>
      <c r="AA1815" s="1042"/>
      <c r="AX1815" s="1042"/>
    </row>
    <row r="1816" spans="25:50">
      <c r="Y1816" s="1042"/>
      <c r="Z1816" s="1042"/>
      <c r="AA1816" s="1042"/>
      <c r="AX1816" s="1042"/>
    </row>
    <row r="1817" spans="25:50">
      <c r="Y1817" s="1042"/>
      <c r="Z1817" s="1042"/>
      <c r="AA1817" s="1042"/>
      <c r="AX1817" s="1042"/>
    </row>
    <row r="1818" spans="25:50">
      <c r="Y1818" s="1042"/>
      <c r="Z1818" s="1042"/>
      <c r="AA1818" s="1042"/>
      <c r="AX1818" s="1042"/>
    </row>
    <row r="1819" spans="25:50">
      <c r="Y1819" s="1042"/>
      <c r="Z1819" s="1042"/>
      <c r="AA1819" s="1042"/>
      <c r="AX1819" s="1042"/>
    </row>
    <row r="1820" spans="25:50">
      <c r="Y1820" s="1042"/>
      <c r="Z1820" s="1042"/>
      <c r="AA1820" s="1042"/>
      <c r="AX1820" s="1042"/>
    </row>
    <row r="1821" spans="25:50">
      <c r="Y1821" s="1042"/>
      <c r="Z1821" s="1042"/>
      <c r="AA1821" s="1042"/>
      <c r="AX1821" s="1042"/>
    </row>
    <row r="1822" spans="25:50">
      <c r="Y1822" s="1042"/>
      <c r="Z1822" s="1042"/>
      <c r="AA1822" s="1042"/>
      <c r="AX1822" s="1042"/>
    </row>
    <row r="1823" spans="25:50">
      <c r="Y1823" s="1042"/>
      <c r="Z1823" s="1042"/>
      <c r="AA1823" s="1042"/>
      <c r="AX1823" s="1042"/>
    </row>
    <row r="1824" spans="25:50">
      <c r="Y1824" s="1042"/>
      <c r="Z1824" s="1042"/>
      <c r="AA1824" s="1042"/>
      <c r="AX1824" s="1042"/>
    </row>
    <row r="1825" spans="25:50">
      <c r="Y1825" s="1042"/>
      <c r="Z1825" s="1042"/>
      <c r="AA1825" s="1042"/>
      <c r="AX1825" s="1042"/>
    </row>
    <row r="1826" spans="25:50">
      <c r="Y1826" s="1042"/>
      <c r="Z1826" s="1042"/>
      <c r="AA1826" s="1042"/>
      <c r="AX1826" s="1042"/>
    </row>
    <row r="1827" spans="25:50">
      <c r="Y1827" s="1042"/>
      <c r="Z1827" s="1042"/>
      <c r="AA1827" s="1042"/>
      <c r="AX1827" s="1042"/>
    </row>
    <row r="1828" spans="25:50">
      <c r="Y1828" s="1042"/>
      <c r="Z1828" s="1042"/>
      <c r="AA1828" s="1042"/>
      <c r="AX1828" s="1042"/>
    </row>
    <row r="1829" spans="25:50">
      <c r="Y1829" s="1042"/>
      <c r="Z1829" s="1042"/>
      <c r="AA1829" s="1042"/>
      <c r="AX1829" s="1042"/>
    </row>
    <row r="1830" spans="25:50">
      <c r="Y1830" s="1042"/>
      <c r="Z1830" s="1042"/>
      <c r="AA1830" s="1042"/>
      <c r="AX1830" s="1042"/>
    </row>
    <row r="1831" spans="25:50">
      <c r="Y1831" s="1042"/>
      <c r="Z1831" s="1042"/>
      <c r="AA1831" s="1042"/>
      <c r="AX1831" s="1042"/>
    </row>
    <row r="1832" spans="25:50">
      <c r="Y1832" s="1042"/>
      <c r="Z1832" s="1042"/>
      <c r="AA1832" s="1042"/>
      <c r="AX1832" s="1042"/>
    </row>
    <row r="1833" spans="25:50">
      <c r="Y1833" s="1042"/>
      <c r="Z1833" s="1042"/>
      <c r="AA1833" s="1042"/>
      <c r="AX1833" s="1042"/>
    </row>
    <row r="1834" spans="25:50">
      <c r="Y1834" s="1042"/>
      <c r="Z1834" s="1042"/>
      <c r="AA1834" s="1042"/>
      <c r="AX1834" s="1042"/>
    </row>
    <row r="1835" spans="25:50">
      <c r="Y1835" s="1042"/>
      <c r="Z1835" s="1042"/>
      <c r="AA1835" s="1042"/>
      <c r="AX1835" s="1042"/>
    </row>
    <row r="1836" spans="25:50">
      <c r="Y1836" s="1042"/>
      <c r="Z1836" s="1042"/>
      <c r="AA1836" s="1042"/>
      <c r="AX1836" s="1042"/>
    </row>
    <row r="1837" spans="25:50">
      <c r="Y1837" s="1042"/>
      <c r="Z1837" s="1042"/>
      <c r="AA1837" s="1042"/>
      <c r="AX1837" s="1042"/>
    </row>
    <row r="1838" spans="25:50">
      <c r="Y1838" s="1042"/>
      <c r="Z1838" s="1042"/>
      <c r="AA1838" s="1042"/>
      <c r="AX1838" s="1042"/>
    </row>
    <row r="1839" spans="25:50">
      <c r="Y1839" s="1042"/>
      <c r="Z1839" s="1042"/>
      <c r="AA1839" s="1042"/>
      <c r="AX1839" s="1042"/>
    </row>
    <row r="1840" spans="25:50">
      <c r="Y1840" s="1042"/>
      <c r="Z1840" s="1042"/>
      <c r="AA1840" s="1042"/>
      <c r="AX1840" s="1042"/>
    </row>
    <row r="1841" spans="25:50">
      <c r="Y1841" s="1042"/>
      <c r="Z1841" s="1042"/>
      <c r="AA1841" s="1042"/>
      <c r="AX1841" s="1042"/>
    </row>
    <row r="1842" spans="25:50">
      <c r="Y1842" s="1042"/>
      <c r="Z1842" s="1042"/>
      <c r="AA1842" s="1042"/>
      <c r="AX1842" s="1042"/>
    </row>
    <row r="1843" spans="25:50">
      <c r="Y1843" s="1042"/>
      <c r="Z1843" s="1042"/>
      <c r="AA1843" s="1042"/>
      <c r="AX1843" s="1042"/>
    </row>
    <row r="1844" spans="25:50">
      <c r="Y1844" s="1042"/>
      <c r="Z1844" s="1042"/>
      <c r="AA1844" s="1042"/>
      <c r="AX1844" s="1042"/>
    </row>
    <row r="1845" spans="25:50">
      <c r="Y1845" s="1042"/>
      <c r="Z1845" s="1042"/>
      <c r="AA1845" s="1042"/>
      <c r="AX1845" s="1042"/>
    </row>
    <row r="1846" spans="25:50">
      <c r="Y1846" s="1042"/>
      <c r="Z1846" s="1042"/>
      <c r="AA1846" s="1042"/>
      <c r="AX1846" s="1042"/>
    </row>
    <row r="1847" spans="25:50">
      <c r="Y1847" s="1042"/>
      <c r="Z1847" s="1042"/>
      <c r="AA1847" s="1042"/>
      <c r="AX1847" s="1042"/>
    </row>
    <row r="1848" spans="25:50">
      <c r="Y1848" s="1042"/>
      <c r="Z1848" s="1042"/>
      <c r="AA1848" s="1042"/>
      <c r="AX1848" s="1042"/>
    </row>
    <row r="1849" spans="25:50">
      <c r="Y1849" s="1042"/>
      <c r="Z1849" s="1042"/>
      <c r="AA1849" s="1042"/>
      <c r="AX1849" s="1042"/>
    </row>
    <row r="1850" spans="25:50">
      <c r="Y1850" s="1042"/>
      <c r="Z1850" s="1042"/>
      <c r="AA1850" s="1042"/>
      <c r="AX1850" s="1042"/>
    </row>
    <row r="1851" spans="25:50">
      <c r="Y1851" s="1042"/>
      <c r="Z1851" s="1042"/>
      <c r="AA1851" s="1042"/>
      <c r="AX1851" s="1042"/>
    </row>
    <row r="1852" spans="25:50">
      <c r="Y1852" s="1042"/>
      <c r="Z1852" s="1042"/>
      <c r="AA1852" s="1042"/>
      <c r="AX1852" s="1042"/>
    </row>
    <row r="1853" spans="25:50">
      <c r="Y1853" s="1042"/>
      <c r="Z1853" s="1042"/>
      <c r="AA1853" s="1042"/>
      <c r="AX1853" s="1042"/>
    </row>
    <row r="1854" spans="25:50">
      <c r="Y1854" s="1042"/>
      <c r="Z1854" s="1042"/>
      <c r="AA1854" s="1042"/>
      <c r="AX1854" s="1042"/>
    </row>
    <row r="1855" spans="25:50">
      <c r="Y1855" s="1042"/>
      <c r="Z1855" s="1042"/>
      <c r="AA1855" s="1042"/>
      <c r="AX1855" s="1042"/>
    </row>
    <row r="1856" spans="25:50">
      <c r="Y1856" s="1042"/>
      <c r="Z1856" s="1042"/>
      <c r="AA1856" s="1042"/>
      <c r="AX1856" s="1042"/>
    </row>
    <row r="1857" spans="25:50">
      <c r="Y1857" s="1042"/>
      <c r="Z1857" s="1042"/>
      <c r="AA1857" s="1042"/>
      <c r="AX1857" s="1042"/>
    </row>
    <row r="1858" spans="25:50">
      <c r="Y1858" s="1042"/>
      <c r="Z1858" s="1042"/>
      <c r="AA1858" s="1042"/>
      <c r="AX1858" s="1042"/>
    </row>
    <row r="1859" spans="25:50">
      <c r="Y1859" s="1042"/>
      <c r="Z1859" s="1042"/>
      <c r="AA1859" s="1042"/>
      <c r="AX1859" s="1042"/>
    </row>
    <row r="1860" spans="25:50">
      <c r="Y1860" s="1042"/>
      <c r="Z1860" s="1042"/>
      <c r="AA1860" s="1042"/>
      <c r="AX1860" s="1042"/>
    </row>
    <row r="1861" spans="25:50">
      <c r="Y1861" s="1042"/>
      <c r="Z1861" s="1042"/>
      <c r="AA1861" s="1042"/>
      <c r="AX1861" s="1042"/>
    </row>
    <row r="1862" spans="25:50">
      <c r="Y1862" s="1042"/>
      <c r="Z1862" s="1042"/>
      <c r="AA1862" s="1042"/>
      <c r="AX1862" s="1042"/>
    </row>
    <row r="1863" spans="25:50">
      <c r="Y1863" s="1042"/>
      <c r="Z1863" s="1042"/>
      <c r="AA1863" s="1042"/>
      <c r="AX1863" s="1042"/>
    </row>
    <row r="1864" spans="25:50">
      <c r="Y1864" s="1042"/>
      <c r="Z1864" s="1042"/>
      <c r="AA1864" s="1042"/>
      <c r="AX1864" s="1042"/>
    </row>
    <row r="1865" spans="25:50">
      <c r="Y1865" s="1042"/>
      <c r="Z1865" s="1042"/>
      <c r="AA1865" s="1042"/>
      <c r="AX1865" s="1042"/>
    </row>
    <row r="1866" spans="25:50">
      <c r="Y1866" s="1042"/>
      <c r="Z1866" s="1042"/>
      <c r="AA1866" s="1042"/>
      <c r="AX1866" s="1042"/>
    </row>
    <row r="1867" spans="25:50">
      <c r="Y1867" s="1042"/>
      <c r="Z1867" s="1042"/>
      <c r="AA1867" s="1042"/>
      <c r="AX1867" s="1042"/>
    </row>
    <row r="1868" spans="25:50">
      <c r="Y1868" s="1042"/>
      <c r="Z1868" s="1042"/>
      <c r="AA1868" s="1042"/>
      <c r="AX1868" s="1042"/>
    </row>
    <row r="1869" spans="25:50">
      <c r="Y1869" s="1042"/>
      <c r="Z1869" s="1042"/>
      <c r="AA1869" s="1042"/>
      <c r="AX1869" s="1042"/>
    </row>
    <row r="1870" spans="25:50">
      <c r="Y1870" s="1042"/>
      <c r="Z1870" s="1042"/>
      <c r="AA1870" s="1042"/>
      <c r="AX1870" s="1042"/>
    </row>
    <row r="1871" spans="25:50">
      <c r="Y1871" s="1042"/>
      <c r="Z1871" s="1042"/>
      <c r="AA1871" s="1042"/>
      <c r="AX1871" s="1042"/>
    </row>
    <row r="1872" spans="25:50">
      <c r="Y1872" s="1042"/>
      <c r="Z1872" s="1042"/>
      <c r="AA1872" s="1042"/>
      <c r="AX1872" s="1042"/>
    </row>
    <row r="1873" spans="25:50">
      <c r="Y1873" s="1042"/>
      <c r="Z1873" s="1042"/>
      <c r="AA1873" s="1042"/>
      <c r="AX1873" s="1042"/>
    </row>
    <row r="1874" spans="25:50">
      <c r="Y1874" s="1042"/>
      <c r="Z1874" s="1042"/>
      <c r="AA1874" s="1042"/>
      <c r="AX1874" s="1042"/>
    </row>
    <row r="1875" spans="25:50">
      <c r="Y1875" s="1042"/>
      <c r="Z1875" s="1042"/>
      <c r="AA1875" s="1042"/>
      <c r="AX1875" s="1042"/>
    </row>
    <row r="1876" spans="25:50">
      <c r="Y1876" s="1042"/>
      <c r="Z1876" s="1042"/>
      <c r="AA1876" s="1042"/>
      <c r="AX1876" s="1042"/>
    </row>
    <row r="1877" spans="25:50">
      <c r="Y1877" s="1042"/>
      <c r="Z1877" s="1042"/>
      <c r="AA1877" s="1042"/>
      <c r="AX1877" s="1042"/>
    </row>
    <row r="1878" spans="25:50">
      <c r="Y1878" s="1042"/>
      <c r="Z1878" s="1042"/>
      <c r="AA1878" s="1042"/>
      <c r="AX1878" s="1042"/>
    </row>
    <row r="1879" spans="25:50">
      <c r="Y1879" s="1042"/>
      <c r="Z1879" s="1042"/>
      <c r="AA1879" s="1042"/>
      <c r="AX1879" s="1042"/>
    </row>
    <row r="1880" spans="25:50">
      <c r="Y1880" s="1042"/>
      <c r="Z1880" s="1042"/>
      <c r="AA1880" s="1042"/>
      <c r="AX1880" s="1042"/>
    </row>
    <row r="1881" spans="25:50">
      <c r="Y1881" s="1042"/>
      <c r="Z1881" s="1042"/>
      <c r="AA1881" s="1042"/>
      <c r="AX1881" s="1042"/>
    </row>
    <row r="1882" spans="25:50">
      <c r="Y1882" s="1042"/>
      <c r="Z1882" s="1042"/>
      <c r="AA1882" s="1042"/>
      <c r="AX1882" s="1042"/>
    </row>
    <row r="1883" spans="25:50">
      <c r="Y1883" s="1042"/>
      <c r="Z1883" s="1042"/>
      <c r="AA1883" s="1042"/>
      <c r="AX1883" s="1042"/>
    </row>
    <row r="1884" spans="25:50">
      <c r="Y1884" s="1042"/>
      <c r="Z1884" s="1042"/>
      <c r="AA1884" s="1042"/>
      <c r="AX1884" s="1042"/>
    </row>
    <row r="1885" spans="25:50">
      <c r="Y1885" s="1042"/>
      <c r="Z1885" s="1042"/>
      <c r="AA1885" s="1042"/>
      <c r="AX1885" s="1042"/>
    </row>
    <row r="1886" spans="25:50">
      <c r="Y1886" s="1042"/>
      <c r="Z1886" s="1042"/>
      <c r="AA1886" s="1042"/>
      <c r="AX1886" s="1042"/>
    </row>
    <row r="1887" spans="25:50">
      <c r="Y1887" s="1042"/>
      <c r="Z1887" s="1042"/>
      <c r="AA1887" s="1042"/>
      <c r="AX1887" s="1042"/>
    </row>
    <row r="1888" spans="25:50">
      <c r="Y1888" s="1042"/>
      <c r="Z1888" s="1042"/>
      <c r="AA1888" s="1042"/>
      <c r="AX1888" s="1042"/>
    </row>
    <row r="1889" spans="25:50">
      <c r="Y1889" s="1042"/>
      <c r="Z1889" s="1042"/>
      <c r="AA1889" s="1042"/>
      <c r="AX1889" s="1042"/>
    </row>
    <row r="1890" spans="25:50">
      <c r="Y1890" s="1042"/>
      <c r="Z1890" s="1042"/>
      <c r="AA1890" s="1042"/>
      <c r="AX1890" s="1042"/>
    </row>
    <row r="1891" spans="25:50">
      <c r="Y1891" s="1042"/>
      <c r="Z1891" s="1042"/>
      <c r="AA1891" s="1042"/>
      <c r="AX1891" s="1042"/>
    </row>
    <row r="1892" spans="25:50">
      <c r="Y1892" s="1042"/>
      <c r="Z1892" s="1042"/>
      <c r="AA1892" s="1042"/>
      <c r="AX1892" s="1042"/>
    </row>
    <row r="1893" spans="25:50">
      <c r="Y1893" s="1042"/>
      <c r="Z1893" s="1042"/>
      <c r="AA1893" s="1042"/>
      <c r="AX1893" s="1042"/>
    </row>
    <row r="1894" spans="25:50">
      <c r="Y1894" s="1042"/>
      <c r="Z1894" s="1042"/>
      <c r="AA1894" s="1042"/>
      <c r="AX1894" s="1042"/>
    </row>
    <row r="1895" spans="25:50">
      <c r="Y1895" s="1042"/>
      <c r="Z1895" s="1042"/>
      <c r="AA1895" s="1042"/>
      <c r="AX1895" s="1042"/>
    </row>
    <row r="1896" spans="25:50">
      <c r="Y1896" s="1042"/>
      <c r="Z1896" s="1042"/>
      <c r="AA1896" s="1042"/>
      <c r="AX1896" s="1042"/>
    </row>
    <row r="1897" spans="25:50">
      <c r="Y1897" s="1042"/>
      <c r="Z1897" s="1042"/>
      <c r="AA1897" s="1042"/>
      <c r="AX1897" s="1042"/>
    </row>
    <row r="1898" spans="25:50">
      <c r="Y1898" s="1042"/>
      <c r="Z1898" s="1042"/>
      <c r="AA1898" s="1042"/>
      <c r="AX1898" s="1042"/>
    </row>
    <row r="1899" spans="25:50">
      <c r="Y1899" s="1042"/>
      <c r="Z1899" s="1042"/>
      <c r="AA1899" s="1042"/>
      <c r="AX1899" s="1042"/>
    </row>
    <row r="1900" spans="25:50">
      <c r="Y1900" s="1042"/>
      <c r="Z1900" s="1042"/>
      <c r="AA1900" s="1042"/>
      <c r="AX1900" s="1042"/>
    </row>
    <row r="1901" spans="25:50">
      <c r="Y1901" s="1042"/>
      <c r="Z1901" s="1042"/>
      <c r="AA1901" s="1042"/>
      <c r="AX1901" s="1042"/>
    </row>
    <row r="1902" spans="25:50">
      <c r="Y1902" s="1042"/>
      <c r="Z1902" s="1042"/>
      <c r="AA1902" s="1042"/>
      <c r="AX1902" s="1042"/>
    </row>
    <row r="1903" spans="25:50">
      <c r="Y1903" s="1042"/>
      <c r="Z1903" s="1042"/>
      <c r="AA1903" s="1042"/>
      <c r="AX1903" s="1042"/>
    </row>
    <row r="1904" spans="25:50">
      <c r="Y1904" s="1042"/>
      <c r="Z1904" s="1042"/>
      <c r="AA1904" s="1042"/>
      <c r="AX1904" s="1042"/>
    </row>
    <row r="1905" spans="25:50">
      <c r="Y1905" s="1042"/>
      <c r="Z1905" s="1042"/>
      <c r="AA1905" s="1042"/>
      <c r="AX1905" s="1042"/>
    </row>
    <row r="1906" spans="25:50">
      <c r="Y1906" s="1042"/>
      <c r="Z1906" s="1042"/>
      <c r="AA1906" s="1042"/>
      <c r="AX1906" s="1042"/>
    </row>
    <row r="1907" spans="25:50">
      <c r="Y1907" s="1042"/>
      <c r="Z1907" s="1042"/>
      <c r="AA1907" s="1042"/>
      <c r="AX1907" s="1042"/>
    </row>
    <row r="1908" spans="25:50">
      <c r="Y1908" s="1042"/>
      <c r="Z1908" s="1042"/>
      <c r="AA1908" s="1042"/>
      <c r="AX1908" s="1042"/>
    </row>
    <row r="1909" spans="25:50">
      <c r="Y1909" s="1042"/>
      <c r="Z1909" s="1042"/>
      <c r="AA1909" s="1042"/>
      <c r="AX1909" s="1042"/>
    </row>
    <row r="1910" spans="25:50">
      <c r="Y1910" s="1042"/>
      <c r="Z1910" s="1042"/>
      <c r="AA1910" s="1042"/>
      <c r="AX1910" s="1042"/>
    </row>
    <row r="1911" spans="25:50">
      <c r="Y1911" s="1042"/>
      <c r="Z1911" s="1042"/>
      <c r="AA1911" s="1042"/>
      <c r="AX1911" s="1042"/>
    </row>
    <row r="1912" spans="25:50">
      <c r="Y1912" s="1042"/>
      <c r="Z1912" s="1042"/>
      <c r="AA1912" s="1042"/>
      <c r="AX1912" s="1042"/>
    </row>
    <row r="1913" spans="25:50">
      <c r="Y1913" s="1042"/>
      <c r="Z1913" s="1042"/>
      <c r="AA1913" s="1042"/>
      <c r="AX1913" s="1042"/>
    </row>
    <row r="1914" spans="25:50">
      <c r="Y1914" s="1042"/>
      <c r="Z1914" s="1042"/>
      <c r="AA1914" s="1042"/>
      <c r="AX1914" s="1042"/>
    </row>
    <row r="1915" spans="25:50">
      <c r="Y1915" s="1042"/>
      <c r="Z1915" s="1042"/>
      <c r="AA1915" s="1042"/>
      <c r="AX1915" s="1042"/>
    </row>
    <row r="1916" spans="25:50">
      <c r="Y1916" s="1042"/>
      <c r="Z1916" s="1042"/>
      <c r="AA1916" s="1042"/>
      <c r="AX1916" s="1042"/>
    </row>
    <row r="1917" spans="25:50">
      <c r="Y1917" s="1042"/>
      <c r="Z1917" s="1042"/>
      <c r="AA1917" s="1042"/>
      <c r="AX1917" s="1042"/>
    </row>
    <row r="1918" spans="25:50">
      <c r="Y1918" s="1042"/>
      <c r="Z1918" s="1042"/>
      <c r="AA1918" s="1042"/>
      <c r="AX1918" s="1042"/>
    </row>
    <row r="1919" spans="25:50">
      <c r="Y1919" s="1042"/>
      <c r="Z1919" s="1042"/>
      <c r="AA1919" s="1042"/>
      <c r="AX1919" s="1042"/>
    </row>
    <row r="1920" spans="25:50">
      <c r="Y1920" s="1042"/>
      <c r="Z1920" s="1042"/>
      <c r="AA1920" s="1042"/>
      <c r="AX1920" s="1042"/>
    </row>
    <row r="1921" spans="25:50">
      <c r="Y1921" s="1042"/>
      <c r="Z1921" s="1042"/>
      <c r="AA1921" s="1042"/>
      <c r="AX1921" s="1042"/>
    </row>
    <row r="1922" spans="25:50">
      <c r="Y1922" s="1042"/>
      <c r="Z1922" s="1042"/>
      <c r="AA1922" s="1042"/>
      <c r="AX1922" s="1042"/>
    </row>
    <row r="1923" spans="25:50">
      <c r="Y1923" s="1042"/>
      <c r="Z1923" s="1042"/>
      <c r="AA1923" s="1042"/>
      <c r="AX1923" s="1042"/>
    </row>
    <row r="1924" spans="25:50">
      <c r="Y1924" s="1042"/>
      <c r="Z1924" s="1042"/>
      <c r="AA1924" s="1042"/>
      <c r="AX1924" s="1042"/>
    </row>
    <row r="1925" spans="25:50">
      <c r="Y1925" s="1042"/>
      <c r="Z1925" s="1042"/>
      <c r="AA1925" s="1042"/>
      <c r="AX1925" s="1042"/>
    </row>
    <row r="1926" spans="25:50">
      <c r="Y1926" s="1042"/>
      <c r="Z1926" s="1042"/>
      <c r="AA1926" s="1042"/>
      <c r="AX1926" s="1042"/>
    </row>
    <row r="1927" spans="25:50">
      <c r="Y1927" s="1042"/>
      <c r="Z1927" s="1042"/>
      <c r="AA1927" s="1042"/>
      <c r="AX1927" s="1042"/>
    </row>
    <row r="1928" spans="25:50">
      <c r="Y1928" s="1042"/>
      <c r="Z1928" s="1042"/>
      <c r="AA1928" s="1042"/>
      <c r="AX1928" s="1042"/>
    </row>
    <row r="1929" spans="25:50">
      <c r="Y1929" s="1042"/>
      <c r="Z1929" s="1042"/>
      <c r="AA1929" s="1042"/>
      <c r="AX1929" s="1042"/>
    </row>
    <row r="1930" spans="25:50">
      <c r="Y1930" s="1042"/>
      <c r="Z1930" s="1042"/>
      <c r="AA1930" s="1042"/>
      <c r="AX1930" s="1042"/>
    </row>
    <row r="1931" spans="25:50">
      <c r="Y1931" s="1042"/>
      <c r="Z1931" s="1042"/>
      <c r="AA1931" s="1042"/>
      <c r="AX1931" s="1042"/>
    </row>
    <row r="1932" spans="25:50">
      <c r="Y1932" s="1042"/>
      <c r="Z1932" s="1042"/>
      <c r="AA1932" s="1042"/>
      <c r="AX1932" s="1042"/>
    </row>
    <row r="1933" spans="25:50">
      <c r="Y1933" s="1042"/>
      <c r="Z1933" s="1042"/>
      <c r="AA1933" s="1042"/>
      <c r="AX1933" s="1042"/>
    </row>
    <row r="1934" spans="25:50">
      <c r="Y1934" s="1042"/>
      <c r="Z1934" s="1042"/>
      <c r="AA1934" s="1042"/>
      <c r="AX1934" s="1042"/>
    </row>
    <row r="1935" spans="25:50">
      <c r="Y1935" s="1042"/>
      <c r="Z1935" s="1042"/>
      <c r="AA1935" s="1042"/>
      <c r="AX1935" s="1042"/>
    </row>
    <row r="1936" spans="25:50">
      <c r="Y1936" s="1042"/>
      <c r="Z1936" s="1042"/>
      <c r="AA1936" s="1042"/>
      <c r="AX1936" s="1042"/>
    </row>
    <row r="1937" spans="25:50">
      <c r="Y1937" s="1042"/>
      <c r="Z1937" s="1042"/>
      <c r="AA1937" s="1042"/>
      <c r="AX1937" s="1042"/>
    </row>
    <row r="1938" spans="25:50">
      <c r="Y1938" s="1042"/>
      <c r="Z1938" s="1042"/>
      <c r="AA1938" s="1042"/>
      <c r="AX1938" s="1042"/>
    </row>
    <row r="1939" spans="25:50">
      <c r="Y1939" s="1042"/>
      <c r="Z1939" s="1042"/>
      <c r="AA1939" s="1042"/>
      <c r="AX1939" s="1042"/>
    </row>
    <row r="1940" spans="25:50">
      <c r="Y1940" s="1042"/>
      <c r="Z1940" s="1042"/>
      <c r="AA1940" s="1042"/>
      <c r="AX1940" s="1042"/>
    </row>
    <row r="1941" spans="25:50">
      <c r="Y1941" s="1042"/>
      <c r="Z1941" s="1042"/>
      <c r="AA1941" s="1042"/>
      <c r="AX1941" s="1042"/>
    </row>
    <row r="1942" spans="25:50">
      <c r="Y1942" s="1042"/>
      <c r="Z1942" s="1042"/>
      <c r="AA1942" s="1042"/>
      <c r="AX1942" s="1042"/>
    </row>
    <row r="1943" spans="25:50">
      <c r="Y1943" s="1042"/>
      <c r="Z1943" s="1042"/>
      <c r="AA1943" s="1042"/>
      <c r="AX1943" s="1042"/>
    </row>
    <row r="1944" spans="25:50">
      <c r="Y1944" s="1042"/>
      <c r="Z1944" s="1042"/>
      <c r="AA1944" s="1042"/>
      <c r="AX1944" s="1042"/>
    </row>
    <row r="1945" spans="25:50">
      <c r="Y1945" s="1042"/>
      <c r="Z1945" s="1042"/>
      <c r="AA1945" s="1042"/>
      <c r="AX1945" s="1042"/>
    </row>
    <row r="1946" spans="25:50">
      <c r="Y1946" s="1042"/>
      <c r="Z1946" s="1042"/>
      <c r="AA1946" s="1042"/>
      <c r="AX1946" s="1042"/>
    </row>
    <row r="1947" spans="25:50">
      <c r="Y1947" s="1042"/>
      <c r="Z1947" s="1042"/>
      <c r="AA1947" s="1042"/>
      <c r="AX1947" s="1042"/>
    </row>
    <row r="1948" spans="25:50">
      <c r="Y1948" s="1042"/>
      <c r="Z1948" s="1042"/>
      <c r="AA1948" s="1042"/>
      <c r="AX1948" s="1042"/>
    </row>
    <row r="1949" spans="25:50">
      <c r="Y1949" s="1042"/>
      <c r="Z1949" s="1042"/>
      <c r="AA1949" s="1042"/>
      <c r="AX1949" s="1042"/>
    </row>
    <row r="1950" spans="25:50">
      <c r="Y1950" s="1042"/>
      <c r="Z1950" s="1042"/>
      <c r="AA1950" s="1042"/>
      <c r="AX1950" s="1042"/>
    </row>
    <row r="1951" spans="25:50">
      <c r="Y1951" s="1042"/>
      <c r="Z1951" s="1042"/>
      <c r="AA1951" s="1042"/>
      <c r="AX1951" s="1042"/>
    </row>
    <row r="1952" spans="25:50">
      <c r="Y1952" s="1042"/>
      <c r="Z1952" s="1042"/>
      <c r="AA1952" s="1042"/>
      <c r="AX1952" s="1042"/>
    </row>
    <row r="1953" spans="25:50">
      <c r="Y1953" s="1042"/>
      <c r="Z1953" s="1042"/>
      <c r="AA1953" s="1042"/>
      <c r="AX1953" s="1042"/>
    </row>
    <row r="1954" spans="25:50">
      <c r="Y1954" s="1042"/>
      <c r="Z1954" s="1042"/>
      <c r="AA1954" s="1042"/>
      <c r="AX1954" s="1042"/>
    </row>
    <row r="1955" spans="25:50">
      <c r="Y1955" s="1042"/>
      <c r="Z1955" s="1042"/>
      <c r="AA1955" s="1042"/>
      <c r="AX1955" s="1042"/>
    </row>
    <row r="1956" spans="25:50">
      <c r="Y1956" s="1042"/>
      <c r="Z1956" s="1042"/>
      <c r="AA1956" s="1042"/>
      <c r="AX1956" s="1042"/>
    </row>
    <row r="1957" spans="25:50">
      <c r="Y1957" s="1042"/>
      <c r="Z1957" s="1042"/>
      <c r="AA1957" s="1042"/>
      <c r="AX1957" s="1042"/>
    </row>
    <row r="1958" spans="25:50">
      <c r="Y1958" s="1042"/>
      <c r="Z1958" s="1042"/>
      <c r="AA1958" s="1042"/>
      <c r="AX1958" s="1042"/>
    </row>
    <row r="1959" spans="25:50">
      <c r="Y1959" s="1042"/>
      <c r="Z1959" s="1042"/>
      <c r="AA1959" s="1042"/>
      <c r="AX1959" s="1042"/>
    </row>
    <row r="1960" spans="25:50">
      <c r="Y1960" s="1042"/>
      <c r="Z1960" s="1042"/>
      <c r="AA1960" s="1042"/>
      <c r="AX1960" s="1042"/>
    </row>
    <row r="1961" spans="25:50">
      <c r="Y1961" s="1042"/>
      <c r="Z1961" s="1042"/>
      <c r="AA1961" s="1042"/>
      <c r="AX1961" s="1042"/>
    </row>
    <row r="1962" spans="25:50">
      <c r="Y1962" s="1042"/>
      <c r="Z1962" s="1042"/>
      <c r="AA1962" s="1042"/>
      <c r="AX1962" s="1042"/>
    </row>
    <row r="1963" spans="25:50">
      <c r="Y1963" s="1042"/>
      <c r="Z1963" s="1042"/>
      <c r="AA1963" s="1042"/>
      <c r="AX1963" s="1042"/>
    </row>
    <row r="1964" spans="25:50">
      <c r="Y1964" s="1042"/>
      <c r="Z1964" s="1042"/>
      <c r="AA1964" s="1042"/>
      <c r="AX1964" s="1042"/>
    </row>
    <row r="1965" spans="25:50">
      <c r="Y1965" s="1042"/>
      <c r="Z1965" s="1042"/>
      <c r="AA1965" s="1042"/>
      <c r="AX1965" s="1042"/>
    </row>
    <row r="1966" spans="25:50">
      <c r="Y1966" s="1042"/>
      <c r="Z1966" s="1042"/>
      <c r="AA1966" s="1042"/>
      <c r="AX1966" s="1042"/>
    </row>
    <row r="1967" spans="25:50">
      <c r="Y1967" s="1042"/>
      <c r="Z1967" s="1042"/>
      <c r="AA1967" s="1042"/>
      <c r="AX1967" s="1042"/>
    </row>
    <row r="1968" spans="25:50">
      <c r="Y1968" s="1042"/>
      <c r="Z1968" s="1042"/>
      <c r="AA1968" s="1042"/>
      <c r="AX1968" s="1042"/>
    </row>
    <row r="1969" spans="25:50">
      <c r="Y1969" s="1042"/>
      <c r="Z1969" s="1042"/>
      <c r="AA1969" s="1042"/>
      <c r="AX1969" s="1042"/>
    </row>
    <row r="1970" spans="25:50">
      <c r="Y1970" s="1042"/>
      <c r="Z1970" s="1042"/>
      <c r="AA1970" s="1042"/>
      <c r="AX1970" s="1042"/>
    </row>
    <row r="1971" spans="25:50">
      <c r="Y1971" s="1042"/>
      <c r="Z1971" s="1042"/>
      <c r="AA1971" s="1042"/>
      <c r="AX1971" s="1042"/>
    </row>
    <row r="1972" spans="25:50">
      <c r="Y1972" s="1042"/>
      <c r="Z1972" s="1042"/>
      <c r="AA1972" s="1042"/>
      <c r="AX1972" s="1042"/>
    </row>
    <row r="1973" spans="25:50">
      <c r="Y1973" s="1042"/>
      <c r="Z1973" s="1042"/>
      <c r="AA1973" s="1042"/>
      <c r="AX1973" s="1042"/>
    </row>
    <row r="1974" spans="25:50">
      <c r="Y1974" s="1042"/>
      <c r="Z1974" s="1042"/>
      <c r="AA1974" s="1042"/>
      <c r="AX1974" s="1042"/>
    </row>
    <row r="1975" spans="25:50">
      <c r="Y1975" s="1042"/>
      <c r="Z1975" s="1042"/>
      <c r="AA1975" s="1042"/>
      <c r="AX1975" s="1042"/>
    </row>
    <row r="1976" spans="25:50">
      <c r="Y1976" s="1042"/>
      <c r="Z1976" s="1042"/>
      <c r="AA1976" s="1042"/>
      <c r="AX1976" s="1042"/>
    </row>
    <row r="1977" spans="25:50">
      <c r="Y1977" s="1042"/>
      <c r="Z1977" s="1042"/>
      <c r="AA1977" s="1042"/>
      <c r="AX1977" s="1042"/>
    </row>
    <row r="1978" spans="25:50">
      <c r="Y1978" s="1042"/>
      <c r="Z1978" s="1042"/>
      <c r="AA1978" s="1042"/>
      <c r="AX1978" s="1042"/>
    </row>
    <row r="1979" spans="25:50">
      <c r="Y1979" s="1042"/>
      <c r="Z1979" s="1042"/>
      <c r="AA1979" s="1042"/>
      <c r="AX1979" s="1042"/>
    </row>
    <row r="1980" spans="25:50">
      <c r="Y1980" s="1042"/>
      <c r="Z1980" s="1042"/>
      <c r="AA1980" s="1042"/>
      <c r="AX1980" s="1042"/>
    </row>
    <row r="1981" spans="25:50">
      <c r="Y1981" s="1042"/>
      <c r="Z1981" s="1042"/>
      <c r="AA1981" s="1042"/>
      <c r="AX1981" s="1042"/>
    </row>
    <row r="1982" spans="25:50">
      <c r="Y1982" s="1042"/>
      <c r="Z1982" s="1042"/>
      <c r="AA1982" s="1042"/>
      <c r="AX1982" s="1042"/>
    </row>
    <row r="1983" spans="25:50">
      <c r="Y1983" s="1042"/>
      <c r="Z1983" s="1042"/>
      <c r="AA1983" s="1042"/>
      <c r="AX1983" s="1042"/>
    </row>
    <row r="1984" spans="25:50">
      <c r="Y1984" s="1042"/>
      <c r="Z1984" s="1042"/>
      <c r="AA1984" s="1042"/>
      <c r="AX1984" s="1042"/>
    </row>
    <row r="1985" spans="25:50">
      <c r="Y1985" s="1042"/>
      <c r="Z1985" s="1042"/>
      <c r="AA1985" s="1042"/>
      <c r="AX1985" s="1042"/>
    </row>
    <row r="1986" spans="25:50">
      <c r="Y1986" s="1042"/>
      <c r="Z1986" s="1042"/>
      <c r="AA1986" s="1042"/>
      <c r="AX1986" s="1042"/>
    </row>
    <row r="1987" spans="25:50">
      <c r="Y1987" s="1042"/>
      <c r="Z1987" s="1042"/>
      <c r="AA1987" s="1042"/>
      <c r="AX1987" s="1042"/>
    </row>
    <row r="1988" spans="25:50">
      <c r="Y1988" s="1042"/>
      <c r="Z1988" s="1042"/>
      <c r="AA1988" s="1042"/>
      <c r="AX1988" s="1042"/>
    </row>
    <row r="1989" spans="25:50">
      <c r="Y1989" s="1042"/>
      <c r="Z1989" s="1042"/>
      <c r="AA1989" s="1042"/>
      <c r="AX1989" s="1042"/>
    </row>
    <row r="1990" spans="25:50">
      <c r="Y1990" s="1042"/>
      <c r="Z1990" s="1042"/>
      <c r="AA1990" s="1042"/>
      <c r="AX1990" s="1042"/>
    </row>
    <row r="1991" spans="25:50">
      <c r="Y1991" s="1042"/>
      <c r="Z1991" s="1042"/>
      <c r="AA1991" s="1042"/>
      <c r="AX1991" s="1042"/>
    </row>
    <row r="1992" spans="25:50">
      <c r="Y1992" s="1042"/>
      <c r="Z1992" s="1042"/>
      <c r="AA1992" s="1042"/>
      <c r="AX1992" s="1042"/>
    </row>
    <row r="1993" spans="25:50">
      <c r="Y1993" s="1042"/>
      <c r="Z1993" s="1042"/>
      <c r="AA1993" s="1042"/>
      <c r="AX1993" s="1042"/>
    </row>
    <row r="1994" spans="25:50">
      <c r="Y1994" s="1042"/>
      <c r="Z1994" s="1042"/>
      <c r="AA1994" s="1042"/>
      <c r="AX1994" s="1042"/>
    </row>
    <row r="1995" spans="25:50">
      <c r="Y1995" s="1042"/>
      <c r="Z1995" s="1042"/>
      <c r="AA1995" s="1042"/>
      <c r="AX1995" s="1042"/>
    </row>
    <row r="1996" spans="25:50">
      <c r="Y1996" s="1042"/>
      <c r="Z1996" s="1042"/>
      <c r="AA1996" s="1042"/>
      <c r="AX1996" s="1042"/>
    </row>
    <row r="1997" spans="25:50">
      <c r="Y1997" s="1042"/>
      <c r="Z1997" s="1042"/>
      <c r="AA1997" s="1042"/>
      <c r="AX1997" s="1042"/>
    </row>
    <row r="1998" spans="25:50">
      <c r="Y1998" s="1042"/>
      <c r="Z1998" s="1042"/>
      <c r="AA1998" s="1042"/>
      <c r="AX1998" s="1042"/>
    </row>
    <row r="1999" spans="25:50">
      <c r="Y1999" s="1042"/>
      <c r="Z1999" s="1042"/>
      <c r="AA1999" s="1042"/>
      <c r="AX1999" s="1042"/>
    </row>
    <row r="2000" spans="25:50">
      <c r="Y2000" s="1042"/>
      <c r="Z2000" s="1042"/>
      <c r="AA2000" s="1042"/>
      <c r="AX2000" s="1042"/>
    </row>
    <row r="2001" spans="25:50">
      <c r="Y2001" s="1042"/>
      <c r="Z2001" s="1042"/>
      <c r="AA2001" s="1042"/>
      <c r="AX2001" s="1042"/>
    </row>
    <row r="2002" spans="25:50">
      <c r="Y2002" s="1042"/>
      <c r="Z2002" s="1042"/>
      <c r="AA2002" s="1042"/>
      <c r="AX2002" s="1042"/>
    </row>
    <row r="2003" spans="25:50">
      <c r="Y2003" s="1042"/>
      <c r="Z2003" s="1042"/>
      <c r="AA2003" s="1042"/>
      <c r="AX2003" s="1042"/>
    </row>
    <row r="2004" spans="25:50">
      <c r="Y2004" s="1042"/>
      <c r="Z2004" s="1042"/>
      <c r="AA2004" s="1042"/>
      <c r="AX2004" s="1042"/>
    </row>
    <row r="2005" spans="25:50">
      <c r="Y2005" s="1042"/>
      <c r="Z2005" s="1042"/>
      <c r="AA2005" s="1042"/>
      <c r="AX2005" s="1042"/>
    </row>
    <row r="2006" spans="25:50">
      <c r="Y2006" s="1042"/>
      <c r="Z2006" s="1042"/>
      <c r="AA2006" s="1042"/>
      <c r="AX2006" s="1042"/>
    </row>
    <row r="2007" spans="25:50">
      <c r="Y2007" s="1042"/>
      <c r="Z2007" s="1042"/>
      <c r="AA2007" s="1042"/>
      <c r="AX2007" s="1042"/>
    </row>
    <row r="2008" spans="25:50">
      <c r="Y2008" s="1042"/>
      <c r="Z2008" s="1042"/>
      <c r="AA2008" s="1042"/>
      <c r="AX2008" s="1042"/>
    </row>
    <row r="2009" spans="25:50">
      <c r="Y2009" s="1042"/>
      <c r="Z2009" s="1042"/>
      <c r="AA2009" s="1042"/>
      <c r="AX2009" s="1042"/>
    </row>
    <row r="2010" spans="25:50">
      <c r="Y2010" s="1042"/>
      <c r="Z2010" s="1042"/>
      <c r="AA2010" s="1042"/>
      <c r="AX2010" s="1042"/>
    </row>
    <row r="2011" spans="25:50">
      <c r="Y2011" s="1042"/>
      <c r="Z2011" s="1042"/>
      <c r="AA2011" s="1042"/>
      <c r="AX2011" s="1042"/>
    </row>
    <row r="2012" spans="25:50">
      <c r="Y2012" s="1042"/>
      <c r="Z2012" s="1042"/>
      <c r="AA2012" s="1042"/>
      <c r="AX2012" s="1042"/>
    </row>
    <row r="2013" spans="25:50">
      <c r="Y2013" s="1042"/>
      <c r="Z2013" s="1042"/>
      <c r="AA2013" s="1042"/>
      <c r="AX2013" s="1042"/>
    </row>
    <row r="2014" spans="25:50">
      <c r="Y2014" s="1042"/>
      <c r="Z2014" s="1042"/>
      <c r="AA2014" s="1042"/>
      <c r="AX2014" s="1042"/>
    </row>
    <row r="2015" spans="25:50">
      <c r="Y2015" s="1042"/>
      <c r="Z2015" s="1042"/>
      <c r="AA2015" s="1042"/>
      <c r="AX2015" s="1042"/>
    </row>
    <row r="2016" spans="25:50">
      <c r="Y2016" s="1042"/>
      <c r="Z2016" s="1042"/>
      <c r="AA2016" s="1042"/>
      <c r="AX2016" s="1042"/>
    </row>
    <row r="2017" spans="25:50">
      <c r="Y2017" s="1042"/>
      <c r="Z2017" s="1042"/>
      <c r="AA2017" s="1042"/>
      <c r="AX2017" s="1042"/>
    </row>
    <row r="2018" spans="25:50">
      <c r="Y2018" s="1042"/>
      <c r="Z2018" s="1042"/>
      <c r="AA2018" s="1042"/>
      <c r="AX2018" s="1042"/>
    </row>
    <row r="2019" spans="25:50">
      <c r="Y2019" s="1042"/>
      <c r="Z2019" s="1042"/>
      <c r="AA2019" s="1042"/>
      <c r="AX2019" s="1042"/>
    </row>
    <row r="2020" spans="25:50">
      <c r="Y2020" s="1042"/>
      <c r="Z2020" s="1042"/>
      <c r="AA2020" s="1042"/>
      <c r="AX2020" s="1042"/>
    </row>
    <row r="2021" spans="25:50">
      <c r="Y2021" s="1042"/>
      <c r="Z2021" s="1042"/>
      <c r="AA2021" s="1042"/>
      <c r="AX2021" s="1042"/>
    </row>
    <row r="2022" spans="25:50">
      <c r="Y2022" s="1042"/>
      <c r="Z2022" s="1042"/>
      <c r="AA2022" s="1042"/>
      <c r="AX2022" s="1042"/>
    </row>
    <row r="2023" spans="25:50">
      <c r="Y2023" s="1042"/>
      <c r="Z2023" s="1042"/>
      <c r="AA2023" s="1042"/>
      <c r="AX2023" s="1042"/>
    </row>
    <row r="2024" spans="25:50">
      <c r="Y2024" s="1042"/>
      <c r="Z2024" s="1042"/>
      <c r="AA2024" s="1042"/>
      <c r="AX2024" s="1042"/>
    </row>
    <row r="2025" spans="25:50">
      <c r="Y2025" s="1042"/>
      <c r="Z2025" s="1042"/>
      <c r="AA2025" s="1042"/>
      <c r="AX2025" s="1042"/>
    </row>
    <row r="2026" spans="25:50">
      <c r="Y2026" s="1042"/>
      <c r="Z2026" s="1042"/>
      <c r="AA2026" s="1042"/>
      <c r="AX2026" s="1042"/>
    </row>
    <row r="2027" spans="25:50">
      <c r="Y2027" s="1042"/>
      <c r="Z2027" s="1042"/>
      <c r="AA2027" s="1042"/>
      <c r="AX2027" s="1042"/>
    </row>
    <row r="2028" spans="25:50">
      <c r="Y2028" s="1042"/>
      <c r="Z2028" s="1042"/>
      <c r="AA2028" s="1042"/>
      <c r="AX2028" s="1042"/>
    </row>
    <row r="2029" spans="25:50">
      <c r="Y2029" s="1042"/>
      <c r="Z2029" s="1042"/>
      <c r="AA2029" s="1042"/>
      <c r="AX2029" s="1042"/>
    </row>
    <row r="2030" spans="25:50">
      <c r="Y2030" s="1042"/>
      <c r="Z2030" s="1042"/>
      <c r="AA2030" s="1042"/>
      <c r="AX2030" s="1042"/>
    </row>
    <row r="2031" spans="25:50">
      <c r="Y2031" s="1042"/>
      <c r="Z2031" s="1042"/>
      <c r="AA2031" s="1042"/>
      <c r="AX2031" s="1042"/>
    </row>
    <row r="2032" spans="25:50">
      <c r="Y2032" s="1042"/>
      <c r="Z2032" s="1042"/>
      <c r="AA2032" s="1042"/>
      <c r="AX2032" s="1042"/>
    </row>
    <row r="2033" spans="25:50">
      <c r="Y2033" s="1042"/>
      <c r="Z2033" s="1042"/>
      <c r="AA2033" s="1042"/>
      <c r="AX2033" s="1042"/>
    </row>
    <row r="2034" spans="25:50">
      <c r="Y2034" s="1042"/>
      <c r="Z2034" s="1042"/>
      <c r="AA2034" s="1042"/>
      <c r="AX2034" s="1042"/>
    </row>
    <row r="2035" spans="25:50">
      <c r="Y2035" s="1042"/>
      <c r="Z2035" s="1042"/>
      <c r="AA2035" s="1042"/>
      <c r="AX2035" s="1042"/>
    </row>
    <row r="2036" spans="25:50">
      <c r="Y2036" s="1042"/>
      <c r="Z2036" s="1042"/>
      <c r="AA2036" s="1042"/>
      <c r="AX2036" s="1042"/>
    </row>
    <row r="2037" spans="25:50">
      <c r="Y2037" s="1042"/>
      <c r="Z2037" s="1042"/>
      <c r="AA2037" s="1042"/>
      <c r="AX2037" s="1042"/>
    </row>
    <row r="2038" spans="25:50">
      <c r="Y2038" s="1042"/>
      <c r="Z2038" s="1042"/>
      <c r="AA2038" s="1042"/>
      <c r="AX2038" s="1042"/>
    </row>
    <row r="2039" spans="25:50">
      <c r="Y2039" s="1042"/>
      <c r="Z2039" s="1042"/>
      <c r="AA2039" s="1042"/>
      <c r="AX2039" s="1042"/>
    </row>
    <row r="2040" spans="25:50">
      <c r="Y2040" s="1042"/>
      <c r="Z2040" s="1042"/>
      <c r="AA2040" s="1042"/>
      <c r="AX2040" s="1042"/>
    </row>
    <row r="2041" spans="25:50">
      <c r="Y2041" s="1042"/>
      <c r="Z2041" s="1042"/>
      <c r="AA2041" s="1042"/>
      <c r="AX2041" s="1042"/>
    </row>
    <row r="2042" spans="25:50">
      <c r="Y2042" s="1042"/>
      <c r="Z2042" s="1042"/>
      <c r="AA2042" s="1042"/>
      <c r="AX2042" s="1042"/>
    </row>
    <row r="2043" spans="25:50">
      <c r="Y2043" s="1042"/>
      <c r="Z2043" s="1042"/>
      <c r="AA2043" s="1042"/>
      <c r="AX2043" s="1042"/>
    </row>
    <row r="2044" spans="25:50">
      <c r="Y2044" s="1042"/>
      <c r="Z2044" s="1042"/>
      <c r="AA2044" s="1042"/>
      <c r="AX2044" s="1042"/>
    </row>
    <row r="2045" spans="25:50">
      <c r="Y2045" s="1042"/>
      <c r="Z2045" s="1042"/>
      <c r="AA2045" s="1042"/>
      <c r="AX2045" s="1042"/>
    </row>
    <row r="2046" spans="25:50">
      <c r="Y2046" s="1042"/>
      <c r="Z2046" s="1042"/>
      <c r="AA2046" s="1042"/>
      <c r="AX2046" s="1042"/>
    </row>
    <row r="2047" spans="25:50">
      <c r="Y2047" s="1042"/>
      <c r="Z2047" s="1042"/>
      <c r="AA2047" s="1042"/>
      <c r="AX2047" s="1042"/>
    </row>
    <row r="2048" spans="25:50">
      <c r="Y2048" s="1042"/>
      <c r="Z2048" s="1042"/>
      <c r="AA2048" s="1042"/>
      <c r="AX2048" s="1042"/>
    </row>
    <row r="2049" spans="25:50">
      <c r="Y2049" s="1042"/>
      <c r="Z2049" s="1042"/>
      <c r="AA2049" s="1042"/>
      <c r="AX2049" s="1042"/>
    </row>
    <row r="2050" spans="25:50">
      <c r="Y2050" s="1042"/>
      <c r="Z2050" s="1042"/>
      <c r="AA2050" s="1042"/>
      <c r="AX2050" s="1042"/>
    </row>
    <row r="2051" spans="25:50">
      <c r="Y2051" s="1042"/>
      <c r="Z2051" s="1042"/>
      <c r="AA2051" s="1042"/>
      <c r="AX2051" s="1042"/>
    </row>
    <row r="2052" spans="25:50">
      <c r="Y2052" s="1042"/>
      <c r="Z2052" s="1042"/>
      <c r="AA2052" s="1042"/>
      <c r="AX2052" s="1042"/>
    </row>
    <row r="2053" spans="25:50">
      <c r="Y2053" s="1042"/>
      <c r="Z2053" s="1042"/>
      <c r="AA2053" s="1042"/>
      <c r="AX2053" s="1042"/>
    </row>
    <row r="2054" spans="25:50">
      <c r="Y2054" s="1042"/>
      <c r="Z2054" s="1042"/>
      <c r="AA2054" s="1042"/>
      <c r="AX2054" s="1042"/>
    </row>
    <row r="2055" spans="25:50">
      <c r="Y2055" s="1042"/>
      <c r="Z2055" s="1042"/>
      <c r="AA2055" s="1042"/>
      <c r="AX2055" s="1042"/>
    </row>
    <row r="2056" spans="25:50">
      <c r="Y2056" s="1042"/>
      <c r="Z2056" s="1042"/>
      <c r="AA2056" s="1042"/>
      <c r="AX2056" s="1042"/>
    </row>
    <row r="2057" spans="25:50">
      <c r="Y2057" s="1042"/>
      <c r="Z2057" s="1042"/>
      <c r="AA2057" s="1042"/>
      <c r="AX2057" s="1042"/>
    </row>
    <row r="2058" spans="25:50">
      <c r="Y2058" s="1042"/>
      <c r="Z2058" s="1042"/>
      <c r="AA2058" s="1042"/>
      <c r="AX2058" s="1042"/>
    </row>
    <row r="2059" spans="25:50">
      <c r="Y2059" s="1042"/>
      <c r="Z2059" s="1042"/>
      <c r="AA2059" s="1042"/>
      <c r="AX2059" s="1042"/>
    </row>
    <row r="2060" spans="25:50">
      <c r="Y2060" s="1042"/>
      <c r="Z2060" s="1042"/>
      <c r="AA2060" s="1042"/>
      <c r="AX2060" s="1042"/>
    </row>
    <row r="2061" spans="25:50">
      <c r="Y2061" s="1042"/>
      <c r="Z2061" s="1042"/>
      <c r="AA2061" s="1042"/>
      <c r="AX2061" s="1042"/>
    </row>
    <row r="2062" spans="25:50">
      <c r="Y2062" s="1042"/>
      <c r="Z2062" s="1042"/>
      <c r="AA2062" s="1042"/>
      <c r="AX2062" s="1042"/>
    </row>
    <row r="2063" spans="25:50">
      <c r="Y2063" s="1042"/>
      <c r="Z2063" s="1042"/>
      <c r="AA2063" s="1042"/>
      <c r="AX2063" s="1042"/>
    </row>
    <row r="2064" spans="25:50">
      <c r="Y2064" s="1042"/>
      <c r="Z2064" s="1042"/>
      <c r="AA2064" s="1042"/>
      <c r="AX2064" s="1042"/>
    </row>
    <row r="2065" spans="25:50">
      <c r="Y2065" s="1042"/>
      <c r="Z2065" s="1042"/>
      <c r="AA2065" s="1042"/>
      <c r="AX2065" s="1042"/>
    </row>
    <row r="2066" spans="25:50">
      <c r="Y2066" s="1042"/>
      <c r="Z2066" s="1042"/>
      <c r="AA2066" s="1042"/>
      <c r="AX2066" s="1042"/>
    </row>
    <row r="2067" spans="25:50">
      <c r="Y2067" s="1042"/>
      <c r="Z2067" s="1042"/>
      <c r="AA2067" s="1042"/>
      <c r="AX2067" s="1042"/>
    </row>
    <row r="2068" spans="25:50">
      <c r="Y2068" s="1042"/>
      <c r="Z2068" s="1042"/>
      <c r="AA2068" s="1042"/>
      <c r="AX2068" s="1042"/>
    </row>
    <row r="2069" spans="25:50">
      <c r="Y2069" s="1042"/>
      <c r="Z2069" s="1042"/>
      <c r="AA2069" s="1042"/>
      <c r="AX2069" s="1042"/>
    </row>
    <row r="2070" spans="25:50">
      <c r="Y2070" s="1042"/>
      <c r="Z2070" s="1042"/>
      <c r="AA2070" s="1042"/>
      <c r="AX2070" s="1042"/>
    </row>
    <row r="2071" spans="25:50">
      <c r="Y2071" s="1042"/>
      <c r="Z2071" s="1042"/>
      <c r="AA2071" s="1042"/>
      <c r="AX2071" s="1042"/>
    </row>
    <row r="2072" spans="25:50">
      <c r="Y2072" s="1042"/>
      <c r="Z2072" s="1042"/>
      <c r="AA2072" s="1042"/>
      <c r="AX2072" s="1042"/>
    </row>
    <row r="2073" spans="25:50">
      <c r="Y2073" s="1042"/>
      <c r="Z2073" s="1042"/>
      <c r="AA2073" s="1042"/>
      <c r="AX2073" s="1042"/>
    </row>
    <row r="2074" spans="25:50">
      <c r="Y2074" s="1042"/>
      <c r="Z2074" s="1042"/>
      <c r="AA2074" s="1042"/>
      <c r="AX2074" s="1042"/>
    </row>
    <row r="2075" spans="25:50">
      <c r="Y2075" s="1042"/>
      <c r="Z2075" s="1042"/>
      <c r="AA2075" s="1042"/>
      <c r="AX2075" s="1042"/>
    </row>
    <row r="2076" spans="25:50">
      <c r="Y2076" s="1042"/>
      <c r="Z2076" s="1042"/>
      <c r="AA2076" s="1042"/>
      <c r="AX2076" s="1042"/>
    </row>
    <row r="2077" spans="25:50">
      <c r="Y2077" s="1042"/>
      <c r="Z2077" s="1042"/>
      <c r="AA2077" s="1042"/>
      <c r="AX2077" s="1042"/>
    </row>
    <row r="2078" spans="25:50">
      <c r="Y2078" s="1042"/>
      <c r="Z2078" s="1042"/>
      <c r="AA2078" s="1042"/>
      <c r="AX2078" s="1042"/>
    </row>
    <row r="2079" spans="25:50">
      <c r="Y2079" s="1042"/>
      <c r="Z2079" s="1042"/>
      <c r="AA2079" s="1042"/>
      <c r="AX2079" s="1042"/>
    </row>
    <row r="2080" spans="25:50">
      <c r="Y2080" s="1042"/>
      <c r="Z2080" s="1042"/>
      <c r="AA2080" s="1042"/>
      <c r="AX2080" s="1042"/>
    </row>
    <row r="2081" spans="25:50">
      <c r="Y2081" s="1042"/>
      <c r="Z2081" s="1042"/>
      <c r="AA2081" s="1042"/>
      <c r="AX2081" s="1042"/>
    </row>
    <row r="2082" spans="25:50">
      <c r="Y2082" s="1042"/>
      <c r="Z2082" s="1042"/>
      <c r="AA2082" s="1042"/>
      <c r="AX2082" s="1042"/>
    </row>
    <row r="2083" spans="25:50">
      <c r="Y2083" s="1042"/>
      <c r="Z2083" s="1042"/>
      <c r="AA2083" s="1042"/>
      <c r="AX2083" s="1042"/>
    </row>
    <row r="2084" spans="25:50">
      <c r="Y2084" s="1042"/>
      <c r="Z2084" s="1042"/>
      <c r="AA2084" s="1042"/>
      <c r="AX2084" s="1042"/>
    </row>
    <row r="2085" spans="25:50">
      <c r="Y2085" s="1042"/>
      <c r="Z2085" s="1042"/>
      <c r="AA2085" s="1042"/>
      <c r="AX2085" s="1042"/>
    </row>
    <row r="2086" spans="25:50">
      <c r="Y2086" s="1042"/>
      <c r="Z2086" s="1042"/>
      <c r="AA2086" s="1042"/>
      <c r="AX2086" s="1042"/>
    </row>
    <row r="2087" spans="25:50">
      <c r="Y2087" s="1042"/>
      <c r="Z2087" s="1042"/>
      <c r="AA2087" s="1042"/>
      <c r="AX2087" s="1042"/>
    </row>
    <row r="2088" spans="25:50">
      <c r="Y2088" s="1042"/>
      <c r="Z2088" s="1042"/>
      <c r="AA2088" s="1042"/>
      <c r="AX2088" s="1042"/>
    </row>
    <row r="2089" spans="25:50">
      <c r="Y2089" s="1042"/>
      <c r="Z2089" s="1042"/>
      <c r="AA2089" s="1042"/>
      <c r="AX2089" s="1042"/>
    </row>
    <row r="2090" spans="25:50">
      <c r="Y2090" s="1042"/>
      <c r="Z2090" s="1042"/>
      <c r="AA2090" s="1042"/>
      <c r="AX2090" s="1042"/>
    </row>
    <row r="2091" spans="25:50">
      <c r="Y2091" s="1042"/>
      <c r="Z2091" s="1042"/>
      <c r="AA2091" s="1042"/>
      <c r="AX2091" s="1042"/>
    </row>
    <row r="2092" spans="25:50">
      <c r="Y2092" s="1042"/>
      <c r="Z2092" s="1042"/>
      <c r="AA2092" s="1042"/>
      <c r="AX2092" s="1042"/>
    </row>
    <row r="2093" spans="25:50">
      <c r="Y2093" s="1042"/>
      <c r="Z2093" s="1042"/>
      <c r="AA2093" s="1042"/>
      <c r="AX2093" s="1042"/>
    </row>
    <row r="2094" spans="25:50">
      <c r="Y2094" s="1042"/>
      <c r="Z2094" s="1042"/>
      <c r="AA2094" s="1042"/>
      <c r="AX2094" s="1042"/>
    </row>
    <row r="2095" spans="25:50">
      <c r="Y2095" s="1042"/>
      <c r="Z2095" s="1042"/>
      <c r="AA2095" s="1042"/>
      <c r="AX2095" s="1042"/>
    </row>
    <row r="2096" spans="25:50">
      <c r="Y2096" s="1042"/>
      <c r="Z2096" s="1042"/>
      <c r="AA2096" s="1042"/>
      <c r="AX2096" s="1042"/>
    </row>
    <row r="2097" spans="25:50">
      <c r="Y2097" s="1042"/>
      <c r="Z2097" s="1042"/>
      <c r="AA2097" s="1042"/>
      <c r="AX2097" s="1042"/>
    </row>
    <row r="2098" spans="25:50">
      <c r="Y2098" s="1042"/>
      <c r="Z2098" s="1042"/>
      <c r="AA2098" s="1042"/>
      <c r="AX2098" s="1042"/>
    </row>
    <row r="2099" spans="25:50">
      <c r="Y2099" s="1042"/>
      <c r="Z2099" s="1042"/>
      <c r="AA2099" s="1042"/>
      <c r="AX2099" s="1042"/>
    </row>
    <row r="2100" spans="25:50">
      <c r="Y2100" s="1042"/>
      <c r="Z2100" s="1042"/>
      <c r="AA2100" s="1042"/>
      <c r="AX2100" s="1042"/>
    </row>
    <row r="2101" spans="25:50">
      <c r="Y2101" s="1042"/>
      <c r="Z2101" s="1042"/>
      <c r="AA2101" s="1042"/>
      <c r="AX2101" s="1042"/>
    </row>
    <row r="2102" spans="25:50">
      <c r="Y2102" s="1042"/>
      <c r="Z2102" s="1042"/>
      <c r="AA2102" s="1042"/>
      <c r="AX2102" s="1042"/>
    </row>
    <row r="2103" spans="25:50">
      <c r="Y2103" s="1042"/>
      <c r="Z2103" s="1042"/>
      <c r="AA2103" s="1042"/>
      <c r="AX2103" s="1042"/>
    </row>
    <row r="2104" spans="25:50">
      <c r="Y2104" s="1042"/>
      <c r="Z2104" s="1042"/>
      <c r="AA2104" s="1042"/>
      <c r="AX2104" s="1042"/>
    </row>
    <row r="2105" spans="25:50">
      <c r="Y2105" s="1042"/>
      <c r="Z2105" s="1042"/>
      <c r="AA2105" s="1042"/>
      <c r="AX2105" s="1042"/>
    </row>
    <row r="2106" spans="25:50">
      <c r="Y2106" s="1042"/>
      <c r="Z2106" s="1042"/>
      <c r="AA2106" s="1042"/>
      <c r="AX2106" s="1042"/>
    </row>
    <row r="2107" spans="25:50">
      <c r="Y2107" s="1042"/>
      <c r="Z2107" s="1042"/>
      <c r="AA2107" s="1042"/>
      <c r="AX2107" s="1042"/>
    </row>
    <row r="2108" spans="25:50">
      <c r="Y2108" s="1042"/>
      <c r="Z2108" s="1042"/>
      <c r="AA2108" s="1042"/>
      <c r="AX2108" s="1042"/>
    </row>
    <row r="2109" spans="25:50">
      <c r="Y2109" s="1042"/>
      <c r="Z2109" s="1042"/>
      <c r="AA2109" s="1042"/>
      <c r="AX2109" s="1042"/>
    </row>
    <row r="2110" spans="25:50">
      <c r="Y2110" s="1042"/>
      <c r="Z2110" s="1042"/>
      <c r="AA2110" s="1042"/>
      <c r="AX2110" s="1042"/>
    </row>
    <row r="2111" spans="25:50">
      <c r="Y2111" s="1042"/>
      <c r="Z2111" s="1042"/>
      <c r="AA2111" s="1042"/>
      <c r="AX2111" s="1042"/>
    </row>
    <row r="2112" spans="25:50">
      <c r="Y2112" s="1042"/>
      <c r="Z2112" s="1042"/>
      <c r="AA2112" s="1042"/>
      <c r="AX2112" s="1042"/>
    </row>
    <row r="2113" spans="25:50">
      <c r="Y2113" s="1042"/>
      <c r="Z2113" s="1042"/>
      <c r="AA2113" s="1042"/>
      <c r="AX2113" s="1042"/>
    </row>
    <row r="2114" spans="25:50">
      <c r="Y2114" s="1042"/>
      <c r="Z2114" s="1042"/>
      <c r="AA2114" s="1042"/>
      <c r="AX2114" s="1042"/>
    </row>
    <row r="2115" spans="25:50">
      <c r="Y2115" s="1042"/>
      <c r="Z2115" s="1042"/>
      <c r="AA2115" s="1042"/>
      <c r="AX2115" s="1042"/>
    </row>
    <row r="2116" spans="25:50">
      <c r="Y2116" s="1042"/>
      <c r="Z2116" s="1042"/>
      <c r="AA2116" s="1042"/>
      <c r="AX2116" s="1042"/>
    </row>
    <row r="2117" spans="25:50">
      <c r="Y2117" s="1042"/>
      <c r="Z2117" s="1042"/>
      <c r="AA2117" s="1042"/>
      <c r="AX2117" s="1042"/>
    </row>
    <row r="2118" spans="25:50">
      <c r="Y2118" s="1042"/>
      <c r="Z2118" s="1042"/>
      <c r="AA2118" s="1042"/>
      <c r="AX2118" s="1042"/>
    </row>
    <row r="2119" spans="25:50">
      <c r="Y2119" s="1042"/>
      <c r="Z2119" s="1042"/>
      <c r="AA2119" s="1042"/>
      <c r="AX2119" s="1042"/>
    </row>
    <row r="2120" spans="25:50">
      <c r="Y2120" s="1042"/>
      <c r="Z2120" s="1042"/>
      <c r="AA2120" s="1042"/>
      <c r="AX2120" s="1042"/>
    </row>
    <row r="2121" spans="25:50">
      <c r="Y2121" s="1042"/>
      <c r="Z2121" s="1042"/>
      <c r="AA2121" s="1042"/>
      <c r="AX2121" s="1042"/>
    </row>
    <row r="2122" spans="25:50">
      <c r="Y2122" s="1042"/>
      <c r="Z2122" s="1042"/>
      <c r="AA2122" s="1042"/>
      <c r="AX2122" s="1042"/>
    </row>
    <row r="2123" spans="25:50">
      <c r="Y2123" s="1042"/>
      <c r="Z2123" s="1042"/>
      <c r="AA2123" s="1042"/>
      <c r="AX2123" s="1042"/>
    </row>
    <row r="2124" spans="25:50">
      <c r="Y2124" s="1042"/>
      <c r="Z2124" s="1042"/>
      <c r="AA2124" s="1042"/>
      <c r="AX2124" s="1042"/>
    </row>
    <row r="2125" spans="25:50">
      <c r="Y2125" s="1042"/>
      <c r="Z2125" s="1042"/>
      <c r="AA2125" s="1042"/>
      <c r="AX2125" s="1042"/>
    </row>
    <row r="2126" spans="25:50">
      <c r="Y2126" s="1042"/>
      <c r="Z2126" s="1042"/>
      <c r="AA2126" s="1042"/>
      <c r="AX2126" s="1042"/>
    </row>
    <row r="2127" spans="25:50">
      <c r="Y2127" s="1042"/>
      <c r="Z2127" s="1042"/>
      <c r="AA2127" s="1042"/>
      <c r="AX2127" s="1042"/>
    </row>
    <row r="2128" spans="25:50">
      <c r="Y2128" s="1042"/>
      <c r="Z2128" s="1042"/>
      <c r="AA2128" s="1042"/>
      <c r="AX2128" s="1042"/>
    </row>
    <row r="2129" spans="25:50">
      <c r="Y2129" s="1042"/>
      <c r="Z2129" s="1042"/>
      <c r="AA2129" s="1042"/>
      <c r="AX2129" s="1042"/>
    </row>
    <row r="2130" spans="25:50">
      <c r="Y2130" s="1042"/>
      <c r="Z2130" s="1042"/>
      <c r="AA2130" s="1042"/>
      <c r="AX2130" s="1042"/>
    </row>
    <row r="2131" spans="25:50">
      <c r="Y2131" s="1042"/>
      <c r="Z2131" s="1042"/>
      <c r="AA2131" s="1042"/>
      <c r="AX2131" s="1042"/>
    </row>
    <row r="2132" spans="25:50">
      <c r="Y2132" s="1042"/>
      <c r="Z2132" s="1042"/>
      <c r="AA2132" s="1042"/>
      <c r="AX2132" s="1042"/>
    </row>
    <row r="2133" spans="25:50">
      <c r="Y2133" s="1042"/>
      <c r="Z2133" s="1042"/>
      <c r="AA2133" s="1042"/>
      <c r="AX2133" s="1042"/>
    </row>
    <row r="2134" spans="25:50">
      <c r="Y2134" s="1042"/>
      <c r="Z2134" s="1042"/>
      <c r="AA2134" s="1042"/>
      <c r="AX2134" s="1042"/>
    </row>
    <row r="2135" spans="25:50">
      <c r="Y2135" s="1042"/>
      <c r="Z2135" s="1042"/>
      <c r="AA2135" s="1042"/>
      <c r="AX2135" s="1042"/>
    </row>
    <row r="2136" spans="25:50">
      <c r="Y2136" s="1042"/>
      <c r="Z2136" s="1042"/>
      <c r="AA2136" s="1042"/>
      <c r="AX2136" s="1042"/>
    </row>
    <row r="2137" spans="25:50">
      <c r="Y2137" s="1042"/>
      <c r="Z2137" s="1042"/>
      <c r="AA2137" s="1042"/>
      <c r="AX2137" s="1042"/>
    </row>
    <row r="2138" spans="25:50">
      <c r="Y2138" s="1042"/>
      <c r="Z2138" s="1042"/>
      <c r="AA2138" s="1042"/>
      <c r="AX2138" s="1042"/>
    </row>
    <row r="2139" spans="25:50">
      <c r="Y2139" s="1042"/>
      <c r="Z2139" s="1042"/>
      <c r="AA2139" s="1042"/>
      <c r="AX2139" s="1042"/>
    </row>
    <row r="2140" spans="25:50">
      <c r="Y2140" s="1042"/>
      <c r="Z2140" s="1042"/>
      <c r="AA2140" s="1042"/>
      <c r="AX2140" s="1042"/>
    </row>
    <row r="2141" spans="25:50">
      <c r="Y2141" s="1042"/>
      <c r="Z2141" s="1042"/>
      <c r="AA2141" s="1042"/>
      <c r="AX2141" s="1042"/>
    </row>
    <row r="2142" spans="25:50">
      <c r="Y2142" s="1042"/>
      <c r="Z2142" s="1042"/>
      <c r="AA2142" s="1042"/>
      <c r="AX2142" s="1042"/>
    </row>
    <row r="2143" spans="25:50">
      <c r="Y2143" s="1042"/>
      <c r="Z2143" s="1042"/>
      <c r="AA2143" s="1042"/>
      <c r="AX2143" s="1042"/>
    </row>
    <row r="2144" spans="25:50">
      <c r="Y2144" s="1042"/>
      <c r="Z2144" s="1042"/>
      <c r="AA2144" s="1042"/>
      <c r="AX2144" s="1042"/>
    </row>
    <row r="2145" spans="25:50">
      <c r="Y2145" s="1042"/>
      <c r="Z2145" s="1042"/>
      <c r="AA2145" s="1042"/>
      <c r="AX2145" s="1042"/>
    </row>
    <row r="2146" spans="25:50">
      <c r="Y2146" s="1042"/>
      <c r="Z2146" s="1042"/>
      <c r="AA2146" s="1042"/>
      <c r="AX2146" s="1042"/>
    </row>
    <row r="2147" spans="25:50">
      <c r="Y2147" s="1042"/>
      <c r="Z2147" s="1042"/>
      <c r="AA2147" s="1042"/>
      <c r="AX2147" s="1042"/>
    </row>
    <row r="2148" spans="25:50">
      <c r="Y2148" s="1042"/>
      <c r="Z2148" s="1042"/>
      <c r="AA2148" s="1042"/>
      <c r="AX2148" s="1042"/>
    </row>
    <row r="2149" spans="25:50">
      <c r="Y2149" s="1042"/>
      <c r="Z2149" s="1042"/>
      <c r="AA2149" s="1042"/>
      <c r="AX2149" s="1042"/>
    </row>
    <row r="2150" spans="25:50">
      <c r="Y2150" s="1042"/>
      <c r="Z2150" s="1042"/>
      <c r="AA2150" s="1042"/>
      <c r="AX2150" s="1042"/>
    </row>
    <row r="2151" spans="25:50">
      <c r="Y2151" s="1042"/>
      <c r="Z2151" s="1042"/>
      <c r="AA2151" s="1042"/>
      <c r="AX2151" s="1042"/>
    </row>
    <row r="2152" spans="25:50">
      <c r="Y2152" s="1042"/>
      <c r="Z2152" s="1042"/>
      <c r="AA2152" s="1042"/>
      <c r="AX2152" s="1042"/>
    </row>
    <row r="2153" spans="25:50">
      <c r="Y2153" s="1042"/>
      <c r="Z2153" s="1042"/>
      <c r="AA2153" s="1042"/>
      <c r="AX2153" s="1042"/>
    </row>
    <row r="2154" spans="25:50">
      <c r="Y2154" s="1042"/>
      <c r="Z2154" s="1042"/>
      <c r="AA2154" s="1042"/>
      <c r="AX2154" s="1042"/>
    </row>
    <row r="2155" spans="25:50">
      <c r="Y2155" s="1042"/>
      <c r="Z2155" s="1042"/>
      <c r="AA2155" s="1042"/>
      <c r="AX2155" s="1042"/>
    </row>
    <row r="2156" spans="25:50">
      <c r="Y2156" s="1042"/>
      <c r="Z2156" s="1042"/>
      <c r="AA2156" s="1042"/>
      <c r="AX2156" s="1042"/>
    </row>
    <row r="2157" spans="25:50">
      <c r="Y2157" s="1042"/>
      <c r="Z2157" s="1042"/>
      <c r="AA2157" s="1042"/>
      <c r="AX2157" s="1042"/>
    </row>
    <row r="2158" spans="25:50">
      <c r="Y2158" s="1042"/>
      <c r="Z2158" s="1042"/>
      <c r="AA2158" s="1042"/>
      <c r="AX2158" s="1042"/>
    </row>
    <row r="2159" spans="25:50">
      <c r="Y2159" s="1042"/>
      <c r="Z2159" s="1042"/>
      <c r="AA2159" s="1042"/>
      <c r="AX2159" s="1042"/>
    </row>
    <row r="2160" spans="25:50">
      <c r="Y2160" s="1042"/>
      <c r="Z2160" s="1042"/>
      <c r="AA2160" s="1042"/>
      <c r="AX2160" s="1042"/>
    </row>
    <row r="2161" spans="25:50">
      <c r="Y2161" s="1042"/>
      <c r="Z2161" s="1042"/>
      <c r="AA2161" s="1042"/>
      <c r="AX2161" s="1042"/>
    </row>
    <row r="2162" spans="25:50">
      <c r="Y2162" s="1042"/>
      <c r="Z2162" s="1042"/>
      <c r="AA2162" s="1042"/>
      <c r="AX2162" s="1042"/>
    </row>
    <row r="2163" spans="25:50">
      <c r="Y2163" s="1042"/>
      <c r="Z2163" s="1042"/>
      <c r="AA2163" s="1042"/>
      <c r="AX2163" s="1042"/>
    </row>
    <row r="2164" spans="25:50">
      <c r="Y2164" s="1042"/>
      <c r="Z2164" s="1042"/>
      <c r="AA2164" s="1042"/>
      <c r="AX2164" s="1042"/>
    </row>
    <row r="2165" spans="25:50">
      <c r="Y2165" s="1042"/>
      <c r="Z2165" s="1042"/>
      <c r="AA2165" s="1042"/>
      <c r="AX2165" s="1042"/>
    </row>
    <row r="2166" spans="25:50">
      <c r="Y2166" s="1042"/>
      <c r="Z2166" s="1042"/>
      <c r="AA2166" s="1042"/>
      <c r="AX2166" s="1042"/>
    </row>
    <row r="2167" spans="25:50">
      <c r="Y2167" s="1042"/>
      <c r="Z2167" s="1042"/>
      <c r="AA2167" s="1042"/>
      <c r="AX2167" s="1042"/>
    </row>
    <row r="2168" spans="25:50">
      <c r="Y2168" s="1042"/>
      <c r="Z2168" s="1042"/>
      <c r="AA2168" s="1042"/>
      <c r="AX2168" s="1042"/>
    </row>
    <row r="2169" spans="25:50">
      <c r="Y2169" s="1042"/>
      <c r="Z2169" s="1042"/>
      <c r="AA2169" s="1042"/>
      <c r="AX2169" s="1042"/>
    </row>
    <row r="2170" spans="25:50">
      <c r="Y2170" s="1042"/>
      <c r="Z2170" s="1042"/>
      <c r="AA2170" s="1042"/>
      <c r="AX2170" s="1042"/>
    </row>
    <row r="2171" spans="25:50">
      <c r="Y2171" s="1042"/>
      <c r="Z2171" s="1042"/>
      <c r="AA2171" s="1042"/>
      <c r="AX2171" s="1042"/>
    </row>
    <row r="2172" spans="25:50">
      <c r="Y2172" s="1042"/>
      <c r="Z2172" s="1042"/>
      <c r="AA2172" s="1042"/>
      <c r="AX2172" s="1042"/>
    </row>
    <row r="2173" spans="25:50">
      <c r="Y2173" s="1042"/>
      <c r="Z2173" s="1042"/>
      <c r="AA2173" s="1042"/>
      <c r="AX2173" s="1042"/>
    </row>
    <row r="2174" spans="25:50">
      <c r="Y2174" s="1042"/>
      <c r="Z2174" s="1042"/>
      <c r="AA2174" s="1042"/>
      <c r="AX2174" s="1042"/>
    </row>
    <row r="2175" spans="25:50">
      <c r="Y2175" s="1042"/>
      <c r="Z2175" s="1042"/>
      <c r="AA2175" s="1042"/>
      <c r="AX2175" s="1042"/>
    </row>
    <row r="2176" spans="25:50">
      <c r="Y2176" s="1042"/>
      <c r="Z2176" s="1042"/>
      <c r="AA2176" s="1042"/>
      <c r="AX2176" s="1042"/>
    </row>
    <row r="2177" spans="25:50">
      <c r="Y2177" s="1042"/>
      <c r="Z2177" s="1042"/>
      <c r="AA2177" s="1042"/>
      <c r="AX2177" s="1042"/>
    </row>
    <row r="2178" spans="25:50">
      <c r="Y2178" s="1042"/>
      <c r="Z2178" s="1042"/>
      <c r="AA2178" s="1042"/>
      <c r="AX2178" s="1042"/>
    </row>
    <row r="2179" spans="25:50">
      <c r="Y2179" s="1042"/>
      <c r="Z2179" s="1042"/>
      <c r="AA2179" s="1042"/>
      <c r="AX2179" s="1042"/>
    </row>
    <row r="2180" spans="25:50">
      <c r="Y2180" s="1042"/>
      <c r="Z2180" s="1042"/>
      <c r="AA2180" s="1042"/>
      <c r="AX2180" s="1042"/>
    </row>
    <row r="2181" spans="25:50">
      <c r="Y2181" s="1042"/>
      <c r="Z2181" s="1042"/>
      <c r="AA2181" s="1042"/>
      <c r="AX2181" s="1042"/>
    </row>
    <row r="2182" spans="25:50">
      <c r="Y2182" s="1042"/>
      <c r="Z2182" s="1042"/>
      <c r="AA2182" s="1042"/>
      <c r="AX2182" s="1042"/>
    </row>
    <row r="2183" spans="25:50">
      <c r="Y2183" s="1042"/>
      <c r="Z2183" s="1042"/>
      <c r="AA2183" s="1042"/>
      <c r="AX2183" s="1042"/>
    </row>
    <row r="2184" spans="25:50">
      <c r="Y2184" s="1042"/>
      <c r="Z2184" s="1042"/>
      <c r="AA2184" s="1042"/>
      <c r="AX2184" s="1042"/>
    </row>
    <row r="2185" spans="25:50">
      <c r="Y2185" s="1042"/>
      <c r="Z2185" s="1042"/>
      <c r="AA2185" s="1042"/>
      <c r="AX2185" s="1042"/>
    </row>
    <row r="2186" spans="25:50">
      <c r="Y2186" s="1042"/>
      <c r="Z2186" s="1042"/>
      <c r="AA2186" s="1042"/>
      <c r="AX2186" s="1042"/>
    </row>
    <row r="2187" spans="25:50">
      <c r="Y2187" s="1042"/>
      <c r="Z2187" s="1042"/>
      <c r="AA2187" s="1042"/>
      <c r="AX2187" s="1042"/>
    </row>
    <row r="2188" spans="25:50">
      <c r="Y2188" s="1042"/>
      <c r="Z2188" s="1042"/>
      <c r="AA2188" s="1042"/>
      <c r="AX2188" s="1042"/>
    </row>
    <row r="2189" spans="25:50">
      <c r="Y2189" s="1042"/>
      <c r="Z2189" s="1042"/>
      <c r="AA2189" s="1042"/>
      <c r="AX2189" s="1042"/>
    </row>
    <row r="2190" spans="25:50">
      <c r="Y2190" s="1042"/>
      <c r="Z2190" s="1042"/>
      <c r="AA2190" s="1042"/>
      <c r="AX2190" s="1042"/>
    </row>
    <row r="2191" spans="25:50">
      <c r="Y2191" s="1042"/>
      <c r="Z2191" s="1042"/>
      <c r="AA2191" s="1042"/>
      <c r="AX2191" s="1042"/>
    </row>
    <row r="2192" spans="25:50">
      <c r="Y2192" s="1042"/>
      <c r="Z2192" s="1042"/>
      <c r="AA2192" s="1042"/>
      <c r="AX2192" s="1042"/>
    </row>
    <row r="2193" spans="25:50">
      <c r="Y2193" s="1042"/>
      <c r="Z2193" s="1042"/>
      <c r="AA2193" s="1042"/>
      <c r="AX2193" s="1042"/>
    </row>
    <row r="2194" spans="25:50">
      <c r="Y2194" s="1042"/>
      <c r="Z2194" s="1042"/>
      <c r="AA2194" s="1042"/>
      <c r="AX2194" s="1042"/>
    </row>
    <row r="2195" spans="25:50">
      <c r="Y2195" s="1042"/>
      <c r="Z2195" s="1042"/>
      <c r="AA2195" s="1042"/>
      <c r="AX2195" s="1042"/>
    </row>
    <row r="2196" spans="25:50">
      <c r="Y2196" s="1042"/>
      <c r="Z2196" s="1042"/>
      <c r="AA2196" s="1042"/>
      <c r="AX2196" s="1042"/>
    </row>
    <row r="2197" spans="25:50">
      <c r="Y2197" s="1042"/>
      <c r="Z2197" s="1042"/>
      <c r="AA2197" s="1042"/>
      <c r="AX2197" s="1042"/>
    </row>
    <row r="2198" spans="25:50">
      <c r="Y2198" s="1042"/>
      <c r="Z2198" s="1042"/>
      <c r="AA2198" s="1042"/>
      <c r="AX2198" s="1042"/>
    </row>
    <row r="2199" spans="25:50">
      <c r="Y2199" s="1042"/>
      <c r="Z2199" s="1042"/>
      <c r="AA2199" s="1042"/>
      <c r="AX2199" s="1042"/>
    </row>
    <row r="2200" spans="25:50">
      <c r="Y2200" s="1042"/>
      <c r="Z2200" s="1042"/>
      <c r="AA2200" s="1042"/>
      <c r="AX2200" s="1042"/>
    </row>
    <row r="2201" spans="25:50">
      <c r="Y2201" s="1042"/>
      <c r="Z2201" s="1042"/>
      <c r="AA2201" s="1042"/>
      <c r="AX2201" s="1042"/>
    </row>
    <row r="2202" spans="25:50">
      <c r="Y2202" s="1042"/>
      <c r="Z2202" s="1042"/>
      <c r="AA2202" s="1042"/>
      <c r="AX2202" s="1042"/>
    </row>
    <row r="2203" spans="25:50">
      <c r="Y2203" s="1042"/>
      <c r="Z2203" s="1042"/>
      <c r="AA2203" s="1042"/>
      <c r="AX2203" s="1042"/>
    </row>
    <row r="2204" spans="25:50">
      <c r="Y2204" s="1042"/>
      <c r="Z2204" s="1042"/>
      <c r="AA2204" s="1042"/>
      <c r="AX2204" s="1042"/>
    </row>
    <row r="2205" spans="25:50">
      <c r="Y2205" s="1042"/>
      <c r="Z2205" s="1042"/>
      <c r="AA2205" s="1042"/>
      <c r="AX2205" s="1042"/>
    </row>
    <row r="2206" spans="25:50">
      <c r="Y2206" s="1042"/>
      <c r="Z2206" s="1042"/>
      <c r="AA2206" s="1042"/>
      <c r="AX2206" s="1042"/>
    </row>
    <row r="2207" spans="25:50">
      <c r="Y2207" s="1042"/>
      <c r="Z2207" s="1042"/>
      <c r="AA2207" s="1042"/>
      <c r="AX2207" s="1042"/>
    </row>
    <row r="2208" spans="25:50">
      <c r="Y2208" s="1042"/>
      <c r="Z2208" s="1042"/>
      <c r="AA2208" s="1042"/>
      <c r="AX2208" s="1042"/>
    </row>
    <row r="2209" spans="25:50">
      <c r="Y2209" s="1042"/>
      <c r="Z2209" s="1042"/>
      <c r="AA2209" s="1042"/>
      <c r="AX2209" s="1042"/>
    </row>
    <row r="2210" spans="25:50">
      <c r="Y2210" s="1042"/>
      <c r="Z2210" s="1042"/>
      <c r="AA2210" s="1042"/>
      <c r="AX2210" s="1042"/>
    </row>
    <row r="2211" spans="25:50">
      <c r="Y2211" s="1042"/>
      <c r="Z2211" s="1042"/>
      <c r="AA2211" s="1042"/>
      <c r="AX2211" s="1042"/>
    </row>
    <row r="2212" spans="25:50">
      <c r="Y2212" s="1042"/>
      <c r="Z2212" s="1042"/>
      <c r="AA2212" s="1042"/>
      <c r="AX2212" s="1042"/>
    </row>
    <row r="2213" spans="25:50">
      <c r="Y2213" s="1042"/>
      <c r="Z2213" s="1042"/>
      <c r="AA2213" s="1042"/>
      <c r="AX2213" s="1042"/>
    </row>
    <row r="2214" spans="25:50">
      <c r="Y2214" s="1042"/>
      <c r="Z2214" s="1042"/>
      <c r="AA2214" s="1042"/>
      <c r="AX2214" s="1042"/>
    </row>
    <row r="2215" spans="25:50">
      <c r="Y2215" s="1042"/>
      <c r="Z2215" s="1042"/>
      <c r="AA2215" s="1042"/>
      <c r="AX2215" s="1042"/>
    </row>
    <row r="2216" spans="25:50">
      <c r="Y2216" s="1042"/>
      <c r="Z2216" s="1042"/>
      <c r="AA2216" s="1042"/>
      <c r="AX2216" s="1042"/>
    </row>
    <row r="2217" spans="25:50">
      <c r="Y2217" s="1042"/>
      <c r="Z2217" s="1042"/>
      <c r="AA2217" s="1042"/>
      <c r="AX2217" s="1042"/>
    </row>
    <row r="2218" spans="25:50">
      <c r="Y2218" s="1042"/>
      <c r="Z2218" s="1042"/>
      <c r="AA2218" s="1042"/>
      <c r="AX2218" s="1042"/>
    </row>
    <row r="2219" spans="25:50">
      <c r="Y2219" s="1042"/>
      <c r="Z2219" s="1042"/>
      <c r="AA2219" s="1042"/>
      <c r="AX2219" s="1042"/>
    </row>
    <row r="2220" spans="25:50">
      <c r="Y2220" s="1042"/>
      <c r="Z2220" s="1042"/>
      <c r="AA2220" s="1042"/>
      <c r="AX2220" s="1042"/>
    </row>
    <row r="2221" spans="25:50">
      <c r="Y2221" s="1042"/>
      <c r="Z2221" s="1042"/>
      <c r="AA2221" s="1042"/>
      <c r="AX2221" s="1042"/>
    </row>
    <row r="2222" spans="25:50">
      <c r="Y2222" s="1042"/>
      <c r="Z2222" s="1042"/>
      <c r="AA2222" s="1042"/>
      <c r="AX2222" s="1042"/>
    </row>
    <row r="2223" spans="25:50">
      <c r="Y2223" s="1042"/>
      <c r="Z2223" s="1042"/>
      <c r="AA2223" s="1042"/>
      <c r="AX2223" s="1042"/>
    </row>
    <row r="2224" spans="25:50">
      <c r="Y2224" s="1042"/>
      <c r="Z2224" s="1042"/>
      <c r="AA2224" s="1042"/>
      <c r="AX2224" s="1042"/>
    </row>
    <row r="2225" spans="25:50">
      <c r="Y2225" s="1042"/>
      <c r="Z2225" s="1042"/>
      <c r="AA2225" s="1042"/>
      <c r="AX2225" s="1042"/>
    </row>
    <row r="2226" spans="25:50">
      <c r="Y2226" s="1042"/>
      <c r="Z2226" s="1042"/>
      <c r="AA2226" s="1042"/>
      <c r="AX2226" s="1042"/>
    </row>
    <row r="2227" spans="25:50">
      <c r="Y2227" s="1042"/>
      <c r="Z2227" s="1042"/>
      <c r="AA2227" s="1042"/>
      <c r="AX2227" s="1042"/>
    </row>
    <row r="2228" spans="25:50">
      <c r="Y2228" s="1042"/>
      <c r="Z2228" s="1042"/>
      <c r="AA2228" s="1042"/>
      <c r="AX2228" s="1042"/>
    </row>
    <row r="2229" spans="25:50">
      <c r="Y2229" s="1042"/>
      <c r="Z2229" s="1042"/>
      <c r="AA2229" s="1042"/>
      <c r="AX2229" s="1042"/>
    </row>
    <row r="2230" spans="25:50">
      <c r="Y2230" s="1042"/>
      <c r="Z2230" s="1042"/>
      <c r="AA2230" s="1042"/>
      <c r="AX2230" s="1042"/>
    </row>
    <row r="2231" spans="25:50">
      <c r="Y2231" s="1042"/>
      <c r="Z2231" s="1042"/>
      <c r="AA2231" s="1042"/>
      <c r="AX2231" s="1042"/>
    </row>
    <row r="2232" spans="25:50">
      <c r="Y2232" s="1042"/>
      <c r="Z2232" s="1042"/>
      <c r="AA2232" s="1042"/>
      <c r="AX2232" s="1042"/>
    </row>
    <row r="2233" spans="25:50">
      <c r="Y2233" s="1042"/>
      <c r="Z2233" s="1042"/>
      <c r="AA2233" s="1042"/>
      <c r="AX2233" s="1042"/>
    </row>
    <row r="2234" spans="25:50">
      <c r="Y2234" s="1042"/>
      <c r="Z2234" s="1042"/>
      <c r="AA2234" s="1042"/>
      <c r="AX2234" s="1042"/>
    </row>
    <row r="2235" spans="25:50">
      <c r="Y2235" s="1042"/>
      <c r="Z2235" s="1042"/>
      <c r="AA2235" s="1042"/>
      <c r="AX2235" s="1042"/>
    </row>
    <row r="2236" spans="25:50">
      <c r="Y2236" s="1042"/>
      <c r="Z2236" s="1042"/>
      <c r="AA2236" s="1042"/>
      <c r="AX2236" s="1042"/>
    </row>
    <row r="2237" spans="25:50">
      <c r="Y2237" s="1042"/>
      <c r="Z2237" s="1042"/>
      <c r="AA2237" s="1042"/>
      <c r="AX2237" s="1042"/>
    </row>
    <row r="2238" spans="25:50">
      <c r="Y2238" s="1042"/>
      <c r="Z2238" s="1042"/>
      <c r="AA2238" s="1042"/>
      <c r="AX2238" s="1042"/>
    </row>
    <row r="2239" spans="25:50">
      <c r="Y2239" s="1042"/>
      <c r="Z2239" s="1042"/>
      <c r="AA2239" s="1042"/>
      <c r="AX2239" s="1042"/>
    </row>
    <row r="2240" spans="25:50">
      <c r="Y2240" s="1042"/>
      <c r="Z2240" s="1042"/>
      <c r="AA2240" s="1042"/>
      <c r="AX2240" s="1042"/>
    </row>
    <row r="2241" spans="25:50">
      <c r="Y2241" s="1042"/>
      <c r="Z2241" s="1042"/>
      <c r="AA2241" s="1042"/>
      <c r="AX2241" s="1042"/>
    </row>
    <row r="2242" spans="25:50">
      <c r="Y2242" s="1042"/>
      <c r="Z2242" s="1042"/>
      <c r="AA2242" s="1042"/>
      <c r="AX2242" s="1042"/>
    </row>
    <row r="2243" spans="25:50">
      <c r="Y2243" s="1042"/>
      <c r="Z2243" s="1042"/>
      <c r="AA2243" s="1042"/>
      <c r="AX2243" s="1042"/>
    </row>
    <row r="2244" spans="25:50">
      <c r="Y2244" s="1042"/>
      <c r="Z2244" s="1042"/>
      <c r="AA2244" s="1042"/>
      <c r="AX2244" s="1042"/>
    </row>
    <row r="2245" spans="25:50">
      <c r="Y2245" s="1042"/>
      <c r="Z2245" s="1042"/>
      <c r="AA2245" s="1042"/>
      <c r="AX2245" s="1042"/>
    </row>
    <row r="2246" spans="25:50">
      <c r="Y2246" s="1042"/>
      <c r="Z2246" s="1042"/>
      <c r="AA2246" s="1042"/>
      <c r="AX2246" s="1042"/>
    </row>
    <row r="2247" spans="25:50">
      <c r="Y2247" s="1042"/>
      <c r="Z2247" s="1042"/>
      <c r="AA2247" s="1042"/>
      <c r="AX2247" s="1042"/>
    </row>
    <row r="2248" spans="25:50">
      <c r="Y2248" s="1042"/>
      <c r="Z2248" s="1042"/>
      <c r="AA2248" s="1042"/>
      <c r="AX2248" s="1042"/>
    </row>
    <row r="2249" spans="25:50">
      <c r="Y2249" s="1042"/>
      <c r="Z2249" s="1042"/>
      <c r="AA2249" s="1042"/>
      <c r="AX2249" s="1042"/>
    </row>
    <row r="2250" spans="25:50">
      <c r="Y2250" s="1042"/>
      <c r="Z2250" s="1042"/>
      <c r="AA2250" s="1042"/>
      <c r="AX2250" s="1042"/>
    </row>
    <row r="2251" spans="25:50">
      <c r="Y2251" s="1042"/>
      <c r="Z2251" s="1042"/>
      <c r="AA2251" s="1042"/>
      <c r="AX2251" s="1042"/>
    </row>
    <row r="2252" spans="25:50">
      <c r="Y2252" s="1042"/>
      <c r="Z2252" s="1042"/>
      <c r="AA2252" s="1042"/>
      <c r="AX2252" s="1042"/>
    </row>
    <row r="2253" spans="25:50">
      <c r="Y2253" s="1042"/>
      <c r="Z2253" s="1042"/>
      <c r="AA2253" s="1042"/>
      <c r="AX2253" s="1042"/>
    </row>
    <row r="2254" spans="25:50">
      <c r="Y2254" s="1042"/>
      <c r="Z2254" s="1042"/>
      <c r="AA2254" s="1042"/>
      <c r="AX2254" s="1042"/>
    </row>
    <row r="2255" spans="25:50">
      <c r="Y2255" s="1042"/>
      <c r="Z2255" s="1042"/>
      <c r="AA2255" s="1042"/>
      <c r="AX2255" s="1042"/>
    </row>
    <row r="2256" spans="25:50">
      <c r="Y2256" s="1042"/>
      <c r="Z2256" s="1042"/>
      <c r="AA2256" s="1042"/>
      <c r="AX2256" s="1042"/>
    </row>
    <row r="2257" spans="25:50">
      <c r="Y2257" s="1042"/>
      <c r="Z2257" s="1042"/>
      <c r="AA2257" s="1042"/>
      <c r="AX2257" s="1042"/>
    </row>
    <row r="2258" spans="25:50">
      <c r="Y2258" s="1042"/>
      <c r="Z2258" s="1042"/>
      <c r="AA2258" s="1042"/>
      <c r="AX2258" s="1042"/>
    </row>
    <row r="2259" spans="25:50">
      <c r="Y2259" s="1042"/>
      <c r="Z2259" s="1042"/>
      <c r="AA2259" s="1042"/>
      <c r="AX2259" s="1042"/>
    </row>
    <row r="2260" spans="25:50">
      <c r="Y2260" s="1042"/>
      <c r="Z2260" s="1042"/>
      <c r="AA2260" s="1042"/>
      <c r="AX2260" s="1042"/>
    </row>
    <row r="2261" spans="25:50">
      <c r="Y2261" s="1042"/>
      <c r="Z2261" s="1042"/>
      <c r="AA2261" s="1042"/>
      <c r="AX2261" s="1042"/>
    </row>
    <row r="2262" spans="25:50">
      <c r="Y2262" s="1042"/>
      <c r="Z2262" s="1042"/>
      <c r="AA2262" s="1042"/>
      <c r="AX2262" s="1042"/>
    </row>
    <row r="2263" spans="25:50">
      <c r="Y2263" s="1042"/>
      <c r="Z2263" s="1042"/>
      <c r="AA2263" s="1042"/>
      <c r="AX2263" s="1042"/>
    </row>
    <row r="2264" spans="25:50">
      <c r="Y2264" s="1042"/>
      <c r="Z2264" s="1042"/>
      <c r="AA2264" s="1042"/>
      <c r="AX2264" s="1042"/>
    </row>
    <row r="2265" spans="25:50">
      <c r="Y2265" s="1042"/>
      <c r="Z2265" s="1042"/>
      <c r="AA2265" s="1042"/>
      <c r="AX2265" s="1042"/>
    </row>
    <row r="2266" spans="25:50">
      <c r="Y2266" s="1042"/>
      <c r="Z2266" s="1042"/>
      <c r="AA2266" s="1042"/>
      <c r="AX2266" s="1042"/>
    </row>
    <row r="2267" spans="25:50">
      <c r="Y2267" s="1042"/>
      <c r="Z2267" s="1042"/>
      <c r="AA2267" s="1042"/>
      <c r="AX2267" s="1042"/>
    </row>
    <row r="2268" spans="25:50">
      <c r="Y2268" s="1042"/>
      <c r="Z2268" s="1042"/>
      <c r="AA2268" s="1042"/>
      <c r="AX2268" s="1042"/>
    </row>
    <row r="2269" spans="25:50">
      <c r="Y2269" s="1042"/>
      <c r="Z2269" s="1042"/>
      <c r="AA2269" s="1042"/>
      <c r="AX2269" s="1042"/>
    </row>
    <row r="2270" spans="25:50">
      <c r="Y2270" s="1042"/>
      <c r="Z2270" s="1042"/>
      <c r="AA2270" s="1042"/>
      <c r="AX2270" s="1042"/>
    </row>
    <row r="2271" spans="25:50">
      <c r="Y2271" s="1042"/>
      <c r="Z2271" s="1042"/>
      <c r="AA2271" s="1042"/>
      <c r="AX2271" s="1042"/>
    </row>
    <row r="2272" spans="25:50">
      <c r="Y2272" s="1042"/>
      <c r="Z2272" s="1042"/>
      <c r="AA2272" s="1042"/>
      <c r="AX2272" s="1042"/>
    </row>
    <row r="2273" spans="25:50">
      <c r="Y2273" s="1042"/>
      <c r="Z2273" s="1042"/>
      <c r="AA2273" s="1042"/>
      <c r="AX2273" s="1042"/>
    </row>
    <row r="2274" spans="25:50">
      <c r="Y2274" s="1042"/>
      <c r="Z2274" s="1042"/>
      <c r="AA2274" s="1042"/>
      <c r="AX2274" s="1042"/>
    </row>
    <row r="2275" spans="25:50">
      <c r="Y2275" s="1042"/>
      <c r="Z2275" s="1042"/>
      <c r="AA2275" s="1042"/>
      <c r="AX2275" s="1042"/>
    </row>
    <row r="2276" spans="25:50">
      <c r="Y2276" s="1042"/>
      <c r="Z2276" s="1042"/>
      <c r="AA2276" s="1042"/>
      <c r="AX2276" s="1042"/>
    </row>
    <row r="2277" spans="25:50">
      <c r="Y2277" s="1042"/>
      <c r="Z2277" s="1042"/>
      <c r="AA2277" s="1042"/>
      <c r="AX2277" s="1042"/>
    </row>
    <row r="2278" spans="25:50">
      <c r="Y2278" s="1042"/>
      <c r="Z2278" s="1042"/>
      <c r="AA2278" s="1042"/>
      <c r="AX2278" s="1042"/>
    </row>
    <row r="2279" spans="25:50">
      <c r="Y2279" s="1042"/>
      <c r="Z2279" s="1042"/>
      <c r="AA2279" s="1042"/>
      <c r="AX2279" s="1042"/>
    </row>
    <row r="2280" spans="25:50">
      <c r="Y2280" s="1042"/>
      <c r="Z2280" s="1042"/>
      <c r="AA2280" s="1042"/>
      <c r="AX2280" s="1042"/>
    </row>
    <row r="2281" spans="25:50">
      <c r="Y2281" s="1042"/>
      <c r="Z2281" s="1042"/>
      <c r="AA2281" s="1042"/>
      <c r="AX2281" s="1042"/>
    </row>
    <row r="2282" spans="25:50">
      <c r="Y2282" s="1042"/>
      <c r="Z2282" s="1042"/>
      <c r="AA2282" s="1042"/>
      <c r="AX2282" s="1042"/>
    </row>
    <row r="2283" spans="25:50">
      <c r="Y2283" s="1042"/>
      <c r="Z2283" s="1042"/>
      <c r="AA2283" s="1042"/>
      <c r="AX2283" s="1042"/>
    </row>
    <row r="2284" spans="25:50">
      <c r="Y2284" s="1042"/>
      <c r="Z2284" s="1042"/>
      <c r="AA2284" s="1042"/>
      <c r="AX2284" s="1042"/>
    </row>
    <row r="2285" spans="25:50">
      <c r="Y2285" s="1042"/>
      <c r="Z2285" s="1042"/>
      <c r="AA2285" s="1042"/>
      <c r="AX2285" s="1042"/>
    </row>
    <row r="2286" spans="25:50">
      <c r="Y2286" s="1042"/>
      <c r="Z2286" s="1042"/>
      <c r="AA2286" s="1042"/>
      <c r="AX2286" s="1042"/>
    </row>
    <row r="2287" spans="25:50">
      <c r="Y2287" s="1042"/>
      <c r="Z2287" s="1042"/>
      <c r="AA2287" s="1042"/>
      <c r="AX2287" s="1042"/>
    </row>
    <row r="2288" spans="25:50">
      <c r="Y2288" s="1042"/>
      <c r="Z2288" s="1042"/>
      <c r="AA2288" s="1042"/>
      <c r="AX2288" s="1042"/>
    </row>
    <row r="2289" spans="25:50">
      <c r="Y2289" s="1042"/>
      <c r="Z2289" s="1042"/>
      <c r="AA2289" s="1042"/>
      <c r="AX2289" s="1042"/>
    </row>
    <row r="2290" spans="25:50">
      <c r="Y2290" s="1042"/>
      <c r="Z2290" s="1042"/>
      <c r="AA2290" s="1042"/>
      <c r="AX2290" s="1042"/>
    </row>
    <row r="2291" spans="25:50">
      <c r="Y2291" s="1042"/>
      <c r="Z2291" s="1042"/>
      <c r="AA2291" s="1042"/>
      <c r="AX2291" s="1042"/>
    </row>
    <row r="2292" spans="25:50">
      <c r="Y2292" s="1042"/>
      <c r="Z2292" s="1042"/>
      <c r="AA2292" s="1042"/>
      <c r="AX2292" s="1042"/>
    </row>
    <row r="2293" spans="25:50">
      <c r="Y2293" s="1042"/>
      <c r="Z2293" s="1042"/>
      <c r="AA2293" s="1042"/>
      <c r="AX2293" s="1042"/>
    </row>
    <row r="2294" spans="25:50">
      <c r="Y2294" s="1042"/>
      <c r="Z2294" s="1042"/>
      <c r="AA2294" s="1042"/>
      <c r="AX2294" s="1042"/>
    </row>
    <row r="2295" spans="25:50">
      <c r="Y2295" s="1042"/>
      <c r="Z2295" s="1042"/>
      <c r="AA2295" s="1042"/>
      <c r="AX2295" s="1042"/>
    </row>
    <row r="2296" spans="25:50">
      <c r="Y2296" s="1042"/>
      <c r="Z2296" s="1042"/>
      <c r="AA2296" s="1042"/>
      <c r="AX2296" s="1042"/>
    </row>
    <row r="2297" spans="25:50">
      <c r="Y2297" s="1042"/>
      <c r="Z2297" s="1042"/>
      <c r="AA2297" s="1042"/>
      <c r="AX2297" s="1042"/>
    </row>
    <row r="2298" spans="25:50">
      <c r="Y2298" s="1042"/>
      <c r="Z2298" s="1042"/>
      <c r="AA2298" s="1042"/>
      <c r="AX2298" s="1042"/>
    </row>
    <row r="2299" spans="25:50">
      <c r="Y2299" s="1042"/>
      <c r="Z2299" s="1042"/>
      <c r="AA2299" s="1042"/>
      <c r="AX2299" s="1042"/>
    </row>
    <row r="2300" spans="25:50">
      <c r="Y2300" s="1042"/>
      <c r="Z2300" s="1042"/>
      <c r="AA2300" s="1042"/>
      <c r="AX2300" s="1042"/>
    </row>
    <row r="2301" spans="25:50">
      <c r="Y2301" s="1042"/>
      <c r="Z2301" s="1042"/>
      <c r="AA2301" s="1042"/>
      <c r="AX2301" s="1042"/>
    </row>
    <row r="2302" spans="25:50">
      <c r="Y2302" s="1042"/>
      <c r="Z2302" s="1042"/>
      <c r="AA2302" s="1042"/>
      <c r="AX2302" s="1042"/>
    </row>
    <row r="2303" spans="25:50">
      <c r="Y2303" s="1042"/>
      <c r="Z2303" s="1042"/>
      <c r="AA2303" s="1042"/>
      <c r="AX2303" s="1042"/>
    </row>
    <row r="2304" spans="25:50">
      <c r="Y2304" s="1042"/>
      <c r="Z2304" s="1042"/>
      <c r="AA2304" s="1042"/>
      <c r="AX2304" s="1042"/>
    </row>
    <row r="2305" spans="25:50">
      <c r="Y2305" s="1042"/>
      <c r="Z2305" s="1042"/>
      <c r="AA2305" s="1042"/>
      <c r="AX2305" s="1042"/>
    </row>
    <row r="2306" spans="25:50">
      <c r="Y2306" s="1042"/>
      <c r="Z2306" s="1042"/>
      <c r="AA2306" s="1042"/>
      <c r="AX2306" s="1042"/>
    </row>
    <row r="2307" spans="25:50">
      <c r="Y2307" s="1042"/>
      <c r="Z2307" s="1042"/>
      <c r="AA2307" s="1042"/>
      <c r="AX2307" s="1042"/>
    </row>
    <row r="2308" spans="25:50">
      <c r="Y2308" s="1042"/>
      <c r="Z2308" s="1042"/>
      <c r="AA2308" s="1042"/>
      <c r="AX2308" s="1042"/>
    </row>
    <row r="2309" spans="25:50">
      <c r="Y2309" s="1042"/>
      <c r="Z2309" s="1042"/>
      <c r="AA2309" s="1042"/>
      <c r="AX2309" s="1042"/>
    </row>
    <row r="2310" spans="25:50">
      <c r="Y2310" s="1042"/>
      <c r="Z2310" s="1042"/>
      <c r="AA2310" s="1042"/>
      <c r="AX2310" s="1042"/>
    </row>
    <row r="2311" spans="25:50">
      <c r="Y2311" s="1042"/>
      <c r="Z2311" s="1042"/>
      <c r="AA2311" s="1042"/>
      <c r="AX2311" s="1042"/>
    </row>
    <row r="2312" spans="25:50">
      <c r="Y2312" s="1042"/>
      <c r="Z2312" s="1042"/>
      <c r="AA2312" s="1042"/>
      <c r="AX2312" s="1042"/>
    </row>
    <row r="2313" spans="25:50">
      <c r="Y2313" s="1042"/>
      <c r="Z2313" s="1042"/>
      <c r="AA2313" s="1042"/>
      <c r="AX2313" s="1042"/>
    </row>
    <row r="2314" spans="25:50">
      <c r="Y2314" s="1042"/>
      <c r="Z2314" s="1042"/>
      <c r="AA2314" s="1042"/>
      <c r="AX2314" s="1042"/>
    </row>
    <row r="2315" spans="25:50">
      <c r="Y2315" s="1042"/>
      <c r="Z2315" s="1042"/>
      <c r="AA2315" s="1042"/>
      <c r="AX2315" s="1042"/>
    </row>
    <row r="2316" spans="25:50">
      <c r="Y2316" s="1042"/>
      <c r="Z2316" s="1042"/>
      <c r="AA2316" s="1042"/>
      <c r="AX2316" s="1042"/>
    </row>
    <row r="2317" spans="25:50">
      <c r="Y2317" s="1042"/>
      <c r="Z2317" s="1042"/>
      <c r="AA2317" s="1042"/>
      <c r="AX2317" s="1042"/>
    </row>
    <row r="2318" spans="25:50">
      <c r="Y2318" s="1042"/>
      <c r="Z2318" s="1042"/>
      <c r="AA2318" s="1042"/>
      <c r="AX2318" s="1042"/>
    </row>
    <row r="2319" spans="25:50">
      <c r="Y2319" s="1042"/>
      <c r="Z2319" s="1042"/>
      <c r="AA2319" s="1042"/>
      <c r="AX2319" s="1042"/>
    </row>
    <row r="2320" spans="25:50">
      <c r="Y2320" s="1042"/>
      <c r="Z2320" s="1042"/>
      <c r="AA2320" s="1042"/>
      <c r="AX2320" s="1042"/>
    </row>
    <row r="2321" spans="25:50">
      <c r="Y2321" s="1042"/>
      <c r="Z2321" s="1042"/>
      <c r="AA2321" s="1042"/>
      <c r="AX2321" s="1042"/>
    </row>
    <row r="2322" spans="25:50">
      <c r="Y2322" s="1042"/>
      <c r="Z2322" s="1042"/>
      <c r="AA2322" s="1042"/>
      <c r="AX2322" s="1042"/>
    </row>
    <row r="2323" spans="25:50">
      <c r="Y2323" s="1042"/>
      <c r="Z2323" s="1042"/>
      <c r="AA2323" s="1042"/>
      <c r="AX2323" s="1042"/>
    </row>
    <row r="2324" spans="25:50">
      <c r="Y2324" s="1042"/>
      <c r="Z2324" s="1042"/>
      <c r="AA2324" s="1042"/>
      <c r="AX2324" s="1042"/>
    </row>
    <row r="2325" spans="25:50">
      <c r="Y2325" s="1042"/>
      <c r="Z2325" s="1042"/>
      <c r="AA2325" s="1042"/>
      <c r="AX2325" s="1042"/>
    </row>
    <row r="2326" spans="25:50">
      <c r="Y2326" s="1042"/>
      <c r="Z2326" s="1042"/>
      <c r="AA2326" s="1042"/>
      <c r="AX2326" s="1042"/>
    </row>
    <row r="2327" spans="25:50">
      <c r="Y2327" s="1042"/>
      <c r="Z2327" s="1042"/>
      <c r="AA2327" s="1042"/>
      <c r="AX2327" s="1042"/>
    </row>
    <row r="2328" spans="25:50">
      <c r="Y2328" s="1042"/>
      <c r="Z2328" s="1042"/>
      <c r="AA2328" s="1042"/>
      <c r="AX2328" s="1042"/>
    </row>
    <row r="2329" spans="25:50">
      <c r="Y2329" s="1042"/>
      <c r="Z2329" s="1042"/>
      <c r="AA2329" s="1042"/>
      <c r="AX2329" s="1042"/>
    </row>
    <row r="2330" spans="25:50">
      <c r="Y2330" s="1042"/>
      <c r="Z2330" s="1042"/>
      <c r="AA2330" s="1042"/>
      <c r="AX2330" s="1042"/>
    </row>
    <row r="2331" spans="25:50">
      <c r="Y2331" s="1042"/>
      <c r="Z2331" s="1042"/>
      <c r="AA2331" s="1042"/>
      <c r="AX2331" s="1042"/>
    </row>
    <row r="2332" spans="25:50">
      <c r="Y2332" s="1042"/>
      <c r="Z2332" s="1042"/>
      <c r="AA2332" s="1042"/>
      <c r="AX2332" s="1042"/>
    </row>
    <row r="2333" spans="25:50">
      <c r="Y2333" s="1042"/>
      <c r="Z2333" s="1042"/>
      <c r="AA2333" s="1042"/>
      <c r="AX2333" s="1042"/>
    </row>
    <row r="2334" spans="25:50">
      <c r="Y2334" s="1042"/>
      <c r="Z2334" s="1042"/>
      <c r="AA2334" s="1042"/>
      <c r="AX2334" s="1042"/>
    </row>
    <row r="2335" spans="25:50">
      <c r="Y2335" s="1042"/>
      <c r="Z2335" s="1042"/>
      <c r="AA2335" s="1042"/>
      <c r="AX2335" s="1042"/>
    </row>
    <row r="2336" spans="25:50">
      <c r="Y2336" s="1042"/>
      <c r="Z2336" s="1042"/>
      <c r="AA2336" s="1042"/>
      <c r="AX2336" s="1042"/>
    </row>
    <row r="2337" spans="25:50">
      <c r="Y2337" s="1042"/>
      <c r="Z2337" s="1042"/>
      <c r="AA2337" s="1042"/>
      <c r="AX2337" s="1042"/>
    </row>
    <row r="2338" spans="25:50">
      <c r="Y2338" s="1042"/>
      <c r="Z2338" s="1042"/>
      <c r="AA2338" s="1042"/>
      <c r="AX2338" s="1042"/>
    </row>
    <row r="2339" spans="25:50">
      <c r="Y2339" s="1042"/>
      <c r="Z2339" s="1042"/>
      <c r="AA2339" s="1042"/>
      <c r="AX2339" s="1042"/>
    </row>
    <row r="2340" spans="25:50">
      <c r="Y2340" s="1042"/>
      <c r="Z2340" s="1042"/>
      <c r="AA2340" s="1042"/>
      <c r="AX2340" s="1042"/>
    </row>
    <row r="2341" spans="25:50">
      <c r="Y2341" s="1042"/>
      <c r="Z2341" s="1042"/>
      <c r="AA2341" s="1042"/>
      <c r="AX2341" s="1042"/>
    </row>
    <row r="2342" spans="25:50">
      <c r="Y2342" s="1042"/>
      <c r="Z2342" s="1042"/>
      <c r="AA2342" s="1042"/>
      <c r="AX2342" s="1042"/>
    </row>
    <row r="2343" spans="25:50">
      <c r="Y2343" s="1042"/>
      <c r="Z2343" s="1042"/>
      <c r="AA2343" s="1042"/>
      <c r="AX2343" s="1042"/>
    </row>
    <row r="2344" spans="25:50">
      <c r="Y2344" s="1042"/>
      <c r="Z2344" s="1042"/>
      <c r="AA2344" s="1042"/>
      <c r="AX2344" s="1042"/>
    </row>
    <row r="2345" spans="25:50">
      <c r="Y2345" s="1042"/>
      <c r="Z2345" s="1042"/>
      <c r="AA2345" s="1042"/>
      <c r="AX2345" s="1042"/>
    </row>
    <row r="2346" spans="25:50">
      <c r="Y2346" s="1042"/>
      <c r="Z2346" s="1042"/>
      <c r="AA2346" s="1042"/>
      <c r="AX2346" s="1042"/>
    </row>
    <row r="2347" spans="25:50">
      <c r="Y2347" s="1042"/>
      <c r="Z2347" s="1042"/>
      <c r="AA2347" s="1042"/>
      <c r="AX2347" s="1042"/>
    </row>
    <row r="2348" spans="25:50">
      <c r="Y2348" s="1042"/>
      <c r="Z2348" s="1042"/>
      <c r="AA2348" s="1042"/>
      <c r="AX2348" s="1042"/>
    </row>
    <row r="2349" spans="25:50">
      <c r="Y2349" s="1042"/>
      <c r="Z2349" s="1042"/>
      <c r="AA2349" s="1042"/>
      <c r="AX2349" s="1042"/>
    </row>
    <row r="2350" spans="25:50">
      <c r="Y2350" s="1042"/>
      <c r="Z2350" s="1042"/>
      <c r="AA2350" s="1042"/>
      <c r="AX2350" s="1042"/>
    </row>
    <row r="2351" spans="25:50">
      <c r="Y2351" s="1042"/>
      <c r="Z2351" s="1042"/>
      <c r="AA2351" s="1042"/>
      <c r="AX2351" s="1042"/>
    </row>
    <row r="2352" spans="25:50">
      <c r="Y2352" s="1042"/>
      <c r="Z2352" s="1042"/>
      <c r="AA2352" s="1042"/>
      <c r="AX2352" s="1042"/>
    </row>
    <row r="2353" spans="25:50">
      <c r="Y2353" s="1042"/>
      <c r="Z2353" s="1042"/>
      <c r="AA2353" s="1042"/>
      <c r="AX2353" s="1042"/>
    </row>
    <row r="2354" spans="25:50">
      <c r="Y2354" s="1042"/>
      <c r="Z2354" s="1042"/>
      <c r="AA2354" s="1042"/>
      <c r="AX2354" s="1042"/>
    </row>
    <row r="2355" spans="25:50">
      <c r="Y2355" s="1042"/>
      <c r="Z2355" s="1042"/>
      <c r="AA2355" s="1042"/>
      <c r="AX2355" s="1042"/>
    </row>
    <row r="2356" spans="25:50">
      <c r="Y2356" s="1042"/>
      <c r="Z2356" s="1042"/>
      <c r="AA2356" s="1042"/>
      <c r="AX2356" s="1042"/>
    </row>
    <row r="2357" spans="25:50">
      <c r="Y2357" s="1042"/>
      <c r="Z2357" s="1042"/>
      <c r="AA2357" s="1042"/>
      <c r="AX2357" s="1042"/>
    </row>
    <row r="2358" spans="25:50">
      <c r="Y2358" s="1042"/>
      <c r="Z2358" s="1042"/>
      <c r="AA2358" s="1042"/>
      <c r="AX2358" s="1042"/>
    </row>
    <row r="2359" spans="25:50">
      <c r="Y2359" s="1042"/>
      <c r="Z2359" s="1042"/>
      <c r="AA2359" s="1042"/>
      <c r="AX2359" s="1042"/>
    </row>
    <row r="2360" spans="25:50">
      <c r="Y2360" s="1042"/>
      <c r="Z2360" s="1042"/>
      <c r="AA2360" s="1042"/>
      <c r="AX2360" s="1042"/>
    </row>
    <row r="2361" spans="25:50">
      <c r="Y2361" s="1042"/>
      <c r="Z2361" s="1042"/>
      <c r="AA2361" s="1042"/>
      <c r="AX2361" s="1042"/>
    </row>
    <row r="2362" spans="25:50">
      <c r="Y2362" s="1042"/>
      <c r="Z2362" s="1042"/>
      <c r="AA2362" s="1042"/>
      <c r="AX2362" s="1042"/>
    </row>
    <row r="2363" spans="25:50">
      <c r="Y2363" s="1042"/>
      <c r="Z2363" s="1042"/>
      <c r="AA2363" s="1042"/>
      <c r="AX2363" s="1042"/>
    </row>
    <row r="2364" spans="25:50">
      <c r="Y2364" s="1042"/>
      <c r="Z2364" s="1042"/>
      <c r="AA2364" s="1042"/>
      <c r="AX2364" s="1042"/>
    </row>
    <row r="2365" spans="25:50">
      <c r="Y2365" s="1042"/>
      <c r="Z2365" s="1042"/>
      <c r="AA2365" s="1042"/>
      <c r="AX2365" s="1042"/>
    </row>
    <row r="2366" spans="25:50">
      <c r="Y2366" s="1042"/>
      <c r="Z2366" s="1042"/>
      <c r="AA2366" s="1042"/>
      <c r="AX2366" s="1042"/>
    </row>
    <row r="2367" spans="25:50">
      <c r="Y2367" s="1042"/>
      <c r="Z2367" s="1042"/>
      <c r="AA2367" s="1042"/>
      <c r="AX2367" s="1042"/>
    </row>
    <row r="2368" spans="25:50">
      <c r="Y2368" s="1042"/>
      <c r="Z2368" s="1042"/>
      <c r="AA2368" s="1042"/>
      <c r="AX2368" s="1042"/>
    </row>
    <row r="2369" spans="25:50">
      <c r="Y2369" s="1042"/>
      <c r="Z2369" s="1042"/>
      <c r="AA2369" s="1042"/>
      <c r="AX2369" s="1042"/>
    </row>
    <row r="2370" spans="25:50">
      <c r="Y2370" s="1042"/>
      <c r="Z2370" s="1042"/>
      <c r="AA2370" s="1042"/>
      <c r="AX2370" s="1042"/>
    </row>
    <row r="2371" spans="25:50">
      <c r="Y2371" s="1042"/>
      <c r="Z2371" s="1042"/>
      <c r="AA2371" s="1042"/>
      <c r="AX2371" s="1042"/>
    </row>
    <row r="2372" spans="25:50">
      <c r="Y2372" s="1042"/>
      <c r="Z2372" s="1042"/>
      <c r="AA2372" s="1042"/>
      <c r="AX2372" s="1042"/>
    </row>
    <row r="2373" spans="25:50">
      <c r="Y2373" s="1042"/>
      <c r="Z2373" s="1042"/>
      <c r="AA2373" s="1042"/>
      <c r="AX2373" s="1042"/>
    </row>
    <row r="2374" spans="25:50">
      <c r="Y2374" s="1042"/>
      <c r="Z2374" s="1042"/>
      <c r="AA2374" s="1042"/>
      <c r="AX2374" s="1042"/>
    </row>
    <row r="2375" spans="25:50">
      <c r="Y2375" s="1042"/>
      <c r="Z2375" s="1042"/>
      <c r="AA2375" s="1042"/>
      <c r="AX2375" s="1042"/>
    </row>
    <row r="2376" spans="25:50">
      <c r="Y2376" s="1042"/>
      <c r="Z2376" s="1042"/>
      <c r="AA2376" s="1042"/>
      <c r="AX2376" s="1042"/>
    </row>
    <row r="2377" spans="25:50">
      <c r="Y2377" s="1042"/>
      <c r="Z2377" s="1042"/>
      <c r="AA2377" s="1042"/>
      <c r="AX2377" s="1042"/>
    </row>
    <row r="2378" spans="25:50">
      <c r="Y2378" s="1042"/>
      <c r="Z2378" s="1042"/>
      <c r="AA2378" s="1042"/>
      <c r="AX2378" s="1042"/>
    </row>
    <row r="2379" spans="25:50">
      <c r="Y2379" s="1042"/>
      <c r="Z2379" s="1042"/>
      <c r="AA2379" s="1042"/>
      <c r="AX2379" s="1042"/>
    </row>
    <row r="2380" spans="25:50">
      <c r="Y2380" s="1042"/>
      <c r="Z2380" s="1042"/>
      <c r="AA2380" s="1042"/>
      <c r="AX2380" s="1042"/>
    </row>
    <row r="2381" spans="25:50">
      <c r="Y2381" s="1042"/>
      <c r="Z2381" s="1042"/>
      <c r="AA2381" s="1042"/>
      <c r="AX2381" s="1042"/>
    </row>
    <row r="2382" spans="25:50">
      <c r="Y2382" s="1042"/>
      <c r="Z2382" s="1042"/>
      <c r="AA2382" s="1042"/>
      <c r="AX2382" s="1042"/>
    </row>
    <row r="2383" spans="25:50">
      <c r="Y2383" s="1042"/>
      <c r="Z2383" s="1042"/>
      <c r="AA2383" s="1042"/>
      <c r="AX2383" s="1042"/>
    </row>
    <row r="2384" spans="25:50">
      <c r="Y2384" s="1042"/>
      <c r="Z2384" s="1042"/>
      <c r="AA2384" s="1042"/>
      <c r="AX2384" s="1042"/>
    </row>
    <row r="2385" spans="25:50">
      <c r="Y2385" s="1042"/>
      <c r="Z2385" s="1042"/>
      <c r="AA2385" s="1042"/>
      <c r="AX2385" s="1042"/>
    </row>
    <row r="2386" spans="25:50">
      <c r="Y2386" s="1042"/>
      <c r="Z2386" s="1042"/>
      <c r="AA2386" s="1042"/>
      <c r="AX2386" s="1042"/>
    </row>
    <row r="2387" spans="25:50">
      <c r="Y2387" s="1042"/>
      <c r="Z2387" s="1042"/>
      <c r="AA2387" s="1042"/>
      <c r="AX2387" s="1042"/>
    </row>
    <row r="2388" spans="25:50">
      <c r="Y2388" s="1042"/>
      <c r="Z2388" s="1042"/>
      <c r="AA2388" s="1042"/>
      <c r="AX2388" s="1042"/>
    </row>
    <row r="2389" spans="25:50">
      <c r="Y2389" s="1042"/>
      <c r="Z2389" s="1042"/>
      <c r="AA2389" s="1042"/>
      <c r="AX2389" s="1042"/>
    </row>
    <row r="2390" spans="25:50">
      <c r="Y2390" s="1042"/>
      <c r="Z2390" s="1042"/>
      <c r="AA2390" s="1042"/>
      <c r="AX2390" s="1042"/>
    </row>
    <row r="2391" spans="25:50">
      <c r="Y2391" s="1042"/>
      <c r="Z2391" s="1042"/>
      <c r="AA2391" s="1042"/>
      <c r="AX2391" s="1042"/>
    </row>
    <row r="2392" spans="25:50">
      <c r="Y2392" s="1042"/>
      <c r="Z2392" s="1042"/>
      <c r="AA2392" s="1042"/>
      <c r="AX2392" s="1042"/>
    </row>
    <row r="2393" spans="25:50">
      <c r="Y2393" s="1042"/>
      <c r="Z2393" s="1042"/>
      <c r="AA2393" s="1042"/>
      <c r="AX2393" s="1042"/>
    </row>
    <row r="2394" spans="25:50">
      <c r="Y2394" s="1042"/>
      <c r="Z2394" s="1042"/>
      <c r="AA2394" s="1042"/>
      <c r="AX2394" s="1042"/>
    </row>
    <row r="2395" spans="25:50">
      <c r="Y2395" s="1042"/>
      <c r="Z2395" s="1042"/>
      <c r="AA2395" s="1042"/>
      <c r="AX2395" s="1042"/>
    </row>
    <row r="2396" spans="25:50">
      <c r="Y2396" s="1042"/>
      <c r="Z2396" s="1042"/>
      <c r="AA2396" s="1042"/>
      <c r="AX2396" s="1042"/>
    </row>
    <row r="2397" spans="25:50">
      <c r="Y2397" s="1042"/>
      <c r="Z2397" s="1042"/>
      <c r="AA2397" s="1042"/>
      <c r="AX2397" s="1042"/>
    </row>
    <row r="2398" spans="25:50">
      <c r="Y2398" s="1042"/>
      <c r="Z2398" s="1042"/>
      <c r="AA2398" s="1042"/>
      <c r="AX2398" s="1042"/>
    </row>
    <row r="2399" spans="25:50">
      <c r="Y2399" s="1042"/>
      <c r="Z2399" s="1042"/>
      <c r="AA2399" s="1042"/>
      <c r="AX2399" s="1042"/>
    </row>
    <row r="2400" spans="25:50">
      <c r="Y2400" s="1042"/>
      <c r="Z2400" s="1042"/>
      <c r="AA2400" s="1042"/>
      <c r="AX2400" s="1042"/>
    </row>
    <row r="2401" spans="25:50">
      <c r="Y2401" s="1042"/>
      <c r="Z2401" s="1042"/>
      <c r="AA2401" s="1042"/>
      <c r="AX2401" s="1042"/>
    </row>
    <row r="2402" spans="25:50">
      <c r="Y2402" s="1042"/>
      <c r="Z2402" s="1042"/>
      <c r="AA2402" s="1042"/>
      <c r="AX2402" s="1042"/>
    </row>
    <row r="2403" spans="25:50">
      <c r="Y2403" s="1042"/>
      <c r="Z2403" s="1042"/>
      <c r="AA2403" s="1042"/>
      <c r="AX2403" s="1042"/>
    </row>
    <row r="2404" spans="25:50">
      <c r="Y2404" s="1042"/>
      <c r="Z2404" s="1042"/>
      <c r="AA2404" s="1042"/>
      <c r="AX2404" s="1042"/>
    </row>
    <row r="2405" spans="25:50">
      <c r="Y2405" s="1042"/>
      <c r="Z2405" s="1042"/>
      <c r="AA2405" s="1042"/>
      <c r="AX2405" s="1042"/>
    </row>
    <row r="2406" spans="25:50">
      <c r="Y2406" s="1042"/>
      <c r="Z2406" s="1042"/>
      <c r="AA2406" s="1042"/>
      <c r="AX2406" s="1042"/>
    </row>
    <row r="2407" spans="25:50">
      <c r="Y2407" s="1042"/>
      <c r="Z2407" s="1042"/>
      <c r="AA2407" s="1042"/>
      <c r="AX2407" s="1042"/>
    </row>
    <row r="2408" spans="25:50">
      <c r="Y2408" s="1042"/>
      <c r="Z2408" s="1042"/>
      <c r="AA2408" s="1042"/>
      <c r="AX2408" s="1042"/>
    </row>
    <row r="2409" spans="25:50">
      <c r="Y2409" s="1042"/>
      <c r="Z2409" s="1042"/>
      <c r="AA2409" s="1042"/>
      <c r="AX2409" s="1042"/>
    </row>
    <row r="2410" spans="25:50">
      <c r="Y2410" s="1042"/>
      <c r="Z2410" s="1042"/>
      <c r="AA2410" s="1042"/>
      <c r="AX2410" s="1042"/>
    </row>
    <row r="2411" spans="25:50">
      <c r="Y2411" s="1042"/>
      <c r="Z2411" s="1042"/>
      <c r="AA2411" s="1042"/>
      <c r="AX2411" s="1042"/>
    </row>
    <row r="2412" spans="25:50">
      <c r="Y2412" s="1042"/>
      <c r="Z2412" s="1042"/>
      <c r="AA2412" s="1042"/>
      <c r="AX2412" s="1042"/>
    </row>
    <row r="2413" spans="25:50">
      <c r="Y2413" s="1042"/>
      <c r="Z2413" s="1042"/>
      <c r="AA2413" s="1042"/>
      <c r="AX2413" s="1042"/>
    </row>
    <row r="2414" spans="25:50">
      <c r="Y2414" s="1042"/>
      <c r="Z2414" s="1042"/>
      <c r="AA2414" s="1042"/>
      <c r="AX2414" s="1042"/>
    </row>
    <row r="2415" spans="25:50">
      <c r="Y2415" s="1042"/>
      <c r="Z2415" s="1042"/>
      <c r="AA2415" s="1042"/>
      <c r="AX2415" s="1042"/>
    </row>
    <row r="2416" spans="25:50">
      <c r="Y2416" s="1042"/>
      <c r="Z2416" s="1042"/>
      <c r="AA2416" s="1042"/>
      <c r="AX2416" s="1042"/>
    </row>
    <row r="2417" spans="25:50">
      <c r="Y2417" s="1042"/>
      <c r="Z2417" s="1042"/>
      <c r="AA2417" s="1042"/>
      <c r="AX2417" s="1042"/>
    </row>
    <row r="2418" spans="25:50">
      <c r="Y2418" s="1042"/>
      <c r="Z2418" s="1042"/>
      <c r="AA2418" s="1042"/>
      <c r="AX2418" s="1042"/>
    </row>
    <row r="2419" spans="25:50">
      <c r="Y2419" s="1042"/>
      <c r="Z2419" s="1042"/>
      <c r="AA2419" s="1042"/>
      <c r="AX2419" s="1042"/>
    </row>
    <row r="2420" spans="25:50">
      <c r="Y2420" s="1042"/>
      <c r="Z2420" s="1042"/>
      <c r="AA2420" s="1042"/>
      <c r="AX2420" s="1042"/>
    </row>
    <row r="2421" spans="25:50">
      <c r="Y2421" s="1042"/>
      <c r="Z2421" s="1042"/>
      <c r="AA2421" s="1042"/>
      <c r="AX2421" s="1042"/>
    </row>
    <row r="2422" spans="25:50">
      <c r="Y2422" s="1042"/>
      <c r="Z2422" s="1042"/>
      <c r="AA2422" s="1042"/>
      <c r="AX2422" s="1042"/>
    </row>
    <row r="2423" spans="25:50">
      <c r="Y2423" s="1042"/>
      <c r="Z2423" s="1042"/>
      <c r="AA2423" s="1042"/>
      <c r="AX2423" s="1042"/>
    </row>
    <row r="2424" spans="25:50">
      <c r="Y2424" s="1042"/>
      <c r="Z2424" s="1042"/>
      <c r="AA2424" s="1042"/>
      <c r="AX2424" s="1042"/>
    </row>
    <row r="2425" spans="25:50">
      <c r="Y2425" s="1042"/>
      <c r="Z2425" s="1042"/>
      <c r="AA2425" s="1042"/>
      <c r="AX2425" s="1042"/>
    </row>
    <row r="2426" spans="25:50">
      <c r="Y2426" s="1042"/>
      <c r="Z2426" s="1042"/>
      <c r="AA2426" s="1042"/>
      <c r="AX2426" s="1042"/>
    </row>
    <row r="2427" spans="25:50">
      <c r="Y2427" s="1042"/>
      <c r="Z2427" s="1042"/>
      <c r="AA2427" s="1042"/>
      <c r="AX2427" s="1042"/>
    </row>
    <row r="2428" spans="25:50">
      <c r="Y2428" s="1042"/>
      <c r="Z2428" s="1042"/>
      <c r="AA2428" s="1042"/>
      <c r="AX2428" s="1042"/>
    </row>
    <row r="2429" spans="25:50">
      <c r="Y2429" s="1042"/>
      <c r="Z2429" s="1042"/>
      <c r="AA2429" s="1042"/>
      <c r="AX2429" s="1042"/>
    </row>
    <row r="2430" spans="25:50">
      <c r="Y2430" s="1042"/>
      <c r="Z2430" s="1042"/>
      <c r="AA2430" s="1042"/>
      <c r="AX2430" s="1042"/>
    </row>
    <row r="2431" spans="25:50">
      <c r="Y2431" s="1042"/>
      <c r="Z2431" s="1042"/>
      <c r="AA2431" s="1042"/>
      <c r="AX2431" s="1042"/>
    </row>
    <row r="2432" spans="25:50">
      <c r="Y2432" s="1042"/>
      <c r="Z2432" s="1042"/>
      <c r="AA2432" s="1042"/>
      <c r="AX2432" s="1042"/>
    </row>
    <row r="2433" spans="25:50">
      <c r="Y2433" s="1042"/>
      <c r="Z2433" s="1042"/>
      <c r="AA2433" s="1042"/>
      <c r="AX2433" s="1042"/>
    </row>
    <row r="2434" spans="25:50">
      <c r="Y2434" s="1042"/>
      <c r="Z2434" s="1042"/>
      <c r="AA2434" s="1042"/>
      <c r="AX2434" s="1042"/>
    </row>
    <row r="2435" spans="25:50">
      <c r="Y2435" s="1042"/>
      <c r="Z2435" s="1042"/>
      <c r="AA2435" s="1042"/>
      <c r="AX2435" s="1042"/>
    </row>
    <row r="2436" spans="25:50">
      <c r="Y2436" s="1042"/>
      <c r="Z2436" s="1042"/>
      <c r="AA2436" s="1042"/>
      <c r="AX2436" s="1042"/>
    </row>
    <row r="2437" spans="25:50">
      <c r="Y2437" s="1042"/>
      <c r="Z2437" s="1042"/>
      <c r="AA2437" s="1042"/>
      <c r="AX2437" s="1042"/>
    </row>
    <row r="2438" spans="25:50">
      <c r="Y2438" s="1042"/>
      <c r="Z2438" s="1042"/>
      <c r="AA2438" s="1042"/>
      <c r="AX2438" s="1042"/>
    </row>
    <row r="2439" spans="25:50">
      <c r="Y2439" s="1042"/>
      <c r="Z2439" s="1042"/>
      <c r="AA2439" s="1042"/>
      <c r="AX2439" s="1042"/>
    </row>
    <row r="2440" spans="25:50">
      <c r="Y2440" s="1042"/>
      <c r="Z2440" s="1042"/>
      <c r="AA2440" s="1042"/>
      <c r="AX2440" s="1042"/>
    </row>
    <row r="2441" spans="25:50">
      <c r="Y2441" s="1042"/>
      <c r="Z2441" s="1042"/>
      <c r="AA2441" s="1042"/>
      <c r="AX2441" s="1042"/>
    </row>
    <row r="2442" spans="25:50">
      <c r="Y2442" s="1042"/>
      <c r="Z2442" s="1042"/>
      <c r="AA2442" s="1042"/>
      <c r="AX2442" s="1042"/>
    </row>
    <row r="2443" spans="25:50">
      <c r="Y2443" s="1042"/>
      <c r="Z2443" s="1042"/>
      <c r="AA2443" s="1042"/>
      <c r="AX2443" s="1042"/>
    </row>
    <row r="2444" spans="25:50">
      <c r="Y2444" s="1042"/>
      <c r="Z2444" s="1042"/>
      <c r="AA2444" s="1042"/>
      <c r="AX2444" s="1042"/>
    </row>
    <row r="2445" spans="25:50">
      <c r="Y2445" s="1042"/>
      <c r="Z2445" s="1042"/>
      <c r="AA2445" s="1042"/>
      <c r="AX2445" s="1042"/>
    </row>
    <row r="2446" spans="25:50">
      <c r="Y2446" s="1042"/>
      <c r="Z2446" s="1042"/>
      <c r="AA2446" s="1042"/>
      <c r="AX2446" s="1042"/>
    </row>
    <row r="2447" spans="25:50">
      <c r="Y2447" s="1042"/>
      <c r="Z2447" s="1042"/>
      <c r="AA2447" s="1042"/>
      <c r="AX2447" s="1042"/>
    </row>
    <row r="2448" spans="25:50">
      <c r="Y2448" s="1042"/>
      <c r="Z2448" s="1042"/>
      <c r="AA2448" s="1042"/>
      <c r="AX2448" s="1042"/>
    </row>
    <row r="2449" spans="25:50">
      <c r="Y2449" s="1042"/>
      <c r="Z2449" s="1042"/>
      <c r="AA2449" s="1042"/>
      <c r="AX2449" s="1042"/>
    </row>
    <row r="2450" spans="25:50">
      <c r="Y2450" s="1042"/>
      <c r="Z2450" s="1042"/>
      <c r="AA2450" s="1042"/>
      <c r="AX2450" s="1042"/>
    </row>
    <row r="2451" spans="25:50">
      <c r="Y2451" s="1042"/>
      <c r="Z2451" s="1042"/>
      <c r="AA2451" s="1042"/>
      <c r="AX2451" s="1042"/>
    </row>
    <row r="2452" spans="25:50">
      <c r="Y2452" s="1042"/>
      <c r="Z2452" s="1042"/>
      <c r="AA2452" s="1042"/>
      <c r="AX2452" s="1042"/>
    </row>
    <row r="2453" spans="25:50">
      <c r="Y2453" s="1042"/>
      <c r="Z2453" s="1042"/>
      <c r="AA2453" s="1042"/>
      <c r="AX2453" s="1042"/>
    </row>
    <row r="2454" spans="25:50">
      <c r="Y2454" s="1042"/>
      <c r="Z2454" s="1042"/>
      <c r="AA2454" s="1042"/>
      <c r="AX2454" s="1042"/>
    </row>
    <row r="2455" spans="25:50">
      <c r="Y2455" s="1042"/>
      <c r="Z2455" s="1042"/>
      <c r="AA2455" s="1042"/>
      <c r="AX2455" s="1042"/>
    </row>
    <row r="2456" spans="25:50">
      <c r="Y2456" s="1042"/>
      <c r="Z2456" s="1042"/>
      <c r="AA2456" s="1042"/>
      <c r="AX2456" s="1042"/>
    </row>
    <row r="2457" spans="25:50">
      <c r="Y2457" s="1042"/>
      <c r="Z2457" s="1042"/>
      <c r="AA2457" s="1042"/>
      <c r="AX2457" s="1042"/>
    </row>
    <row r="2458" spans="25:50">
      <c r="Y2458" s="1042"/>
      <c r="Z2458" s="1042"/>
      <c r="AA2458" s="1042"/>
      <c r="AX2458" s="1042"/>
    </row>
    <row r="2459" spans="25:50">
      <c r="Y2459" s="1042"/>
      <c r="Z2459" s="1042"/>
      <c r="AA2459" s="1042"/>
      <c r="AX2459" s="1042"/>
    </row>
    <row r="2460" spans="25:50">
      <c r="Y2460" s="1042"/>
      <c r="Z2460" s="1042"/>
      <c r="AA2460" s="1042"/>
      <c r="AX2460" s="1042"/>
    </row>
    <row r="2461" spans="25:50">
      <c r="Y2461" s="1042"/>
      <c r="Z2461" s="1042"/>
      <c r="AA2461" s="1042"/>
      <c r="AX2461" s="1042"/>
    </row>
    <row r="2462" spans="25:50">
      <c r="Y2462" s="1042"/>
      <c r="Z2462" s="1042"/>
      <c r="AA2462" s="1042"/>
      <c r="AX2462" s="1042"/>
    </row>
    <row r="2463" spans="25:50">
      <c r="Y2463" s="1042"/>
      <c r="Z2463" s="1042"/>
      <c r="AA2463" s="1042"/>
      <c r="AX2463" s="1042"/>
    </row>
    <row r="2464" spans="25:50">
      <c r="Y2464" s="1042"/>
      <c r="Z2464" s="1042"/>
      <c r="AA2464" s="1042"/>
      <c r="AX2464" s="1042"/>
    </row>
    <row r="2465" spans="25:50">
      <c r="Y2465" s="1042"/>
      <c r="Z2465" s="1042"/>
      <c r="AA2465" s="1042"/>
      <c r="AX2465" s="1042"/>
    </row>
    <row r="2466" spans="25:50">
      <c r="Y2466" s="1042"/>
      <c r="Z2466" s="1042"/>
      <c r="AA2466" s="1042"/>
      <c r="AX2466" s="1042"/>
    </row>
    <row r="2467" spans="25:50">
      <c r="Y2467" s="1042"/>
      <c r="Z2467" s="1042"/>
      <c r="AA2467" s="1042"/>
      <c r="AX2467" s="1042"/>
    </row>
    <row r="2468" spans="25:50">
      <c r="Y2468" s="1042"/>
      <c r="Z2468" s="1042"/>
      <c r="AA2468" s="1042"/>
      <c r="AX2468" s="1042"/>
    </row>
    <row r="2469" spans="25:50">
      <c r="Y2469" s="1042"/>
      <c r="Z2469" s="1042"/>
      <c r="AA2469" s="1042"/>
      <c r="AX2469" s="1042"/>
    </row>
    <row r="2470" spans="25:50">
      <c r="Y2470" s="1042"/>
      <c r="Z2470" s="1042"/>
      <c r="AA2470" s="1042"/>
      <c r="AX2470" s="1042"/>
    </row>
    <row r="2471" spans="25:50">
      <c r="Y2471" s="1042"/>
      <c r="Z2471" s="1042"/>
      <c r="AA2471" s="1042"/>
      <c r="AX2471" s="1042"/>
    </row>
    <row r="2472" spans="25:50">
      <c r="Y2472" s="1042"/>
      <c r="Z2472" s="1042"/>
      <c r="AA2472" s="1042"/>
      <c r="AX2472" s="1042"/>
    </row>
    <row r="2473" spans="25:50">
      <c r="Y2473" s="1042"/>
      <c r="Z2473" s="1042"/>
      <c r="AA2473" s="1042"/>
      <c r="AX2473" s="1042"/>
    </row>
    <row r="2474" spans="25:50">
      <c r="Y2474" s="1042"/>
      <c r="Z2474" s="1042"/>
      <c r="AA2474" s="1042"/>
      <c r="AX2474" s="1042"/>
    </row>
    <row r="2475" spans="25:50">
      <c r="Y2475" s="1042"/>
      <c r="Z2475" s="1042"/>
      <c r="AA2475" s="1042"/>
      <c r="AX2475" s="1042"/>
    </row>
    <row r="2476" spans="25:50">
      <c r="Y2476" s="1042"/>
      <c r="Z2476" s="1042"/>
      <c r="AA2476" s="1042"/>
      <c r="AX2476" s="1042"/>
    </row>
    <row r="2477" spans="25:50">
      <c r="Y2477" s="1042"/>
      <c r="Z2477" s="1042"/>
      <c r="AA2477" s="1042"/>
      <c r="AX2477" s="1042"/>
    </row>
    <row r="2478" spans="25:50">
      <c r="Y2478" s="1042"/>
      <c r="Z2478" s="1042"/>
      <c r="AA2478" s="1042"/>
      <c r="AX2478" s="1042"/>
    </row>
    <row r="2479" spans="25:50">
      <c r="Y2479" s="1042"/>
      <c r="Z2479" s="1042"/>
      <c r="AA2479" s="1042"/>
      <c r="AX2479" s="1042"/>
    </row>
    <row r="2480" spans="25:50">
      <c r="Y2480" s="1042"/>
      <c r="Z2480" s="1042"/>
      <c r="AA2480" s="1042"/>
      <c r="AX2480" s="1042"/>
    </row>
    <row r="2481" spans="25:50">
      <c r="Y2481" s="1042"/>
      <c r="Z2481" s="1042"/>
      <c r="AA2481" s="1042"/>
      <c r="AX2481" s="1042"/>
    </row>
    <row r="2482" spans="25:50">
      <c r="Y2482" s="1042"/>
      <c r="Z2482" s="1042"/>
      <c r="AA2482" s="1042"/>
      <c r="AX2482" s="1042"/>
    </row>
    <row r="2483" spans="25:50">
      <c r="Y2483" s="1042"/>
      <c r="Z2483" s="1042"/>
      <c r="AA2483" s="1042"/>
      <c r="AX2483" s="1042"/>
    </row>
    <row r="2484" spans="25:50">
      <c r="Y2484" s="1042"/>
      <c r="Z2484" s="1042"/>
      <c r="AA2484" s="1042"/>
      <c r="AX2484" s="1042"/>
    </row>
    <row r="2485" spans="25:50">
      <c r="Y2485" s="1042"/>
      <c r="Z2485" s="1042"/>
      <c r="AA2485" s="1042"/>
      <c r="AX2485" s="1042"/>
    </row>
    <row r="2486" spans="25:50">
      <c r="Y2486" s="1042"/>
      <c r="Z2486" s="1042"/>
      <c r="AA2486" s="1042"/>
      <c r="AX2486" s="1042"/>
    </row>
    <row r="2487" spans="25:50">
      <c r="Y2487" s="1042"/>
      <c r="Z2487" s="1042"/>
      <c r="AA2487" s="1042"/>
      <c r="AX2487" s="1042"/>
    </row>
    <row r="2488" spans="25:50">
      <c r="Y2488" s="1042"/>
      <c r="Z2488" s="1042"/>
      <c r="AA2488" s="1042"/>
      <c r="AX2488" s="1042"/>
    </row>
    <row r="2489" spans="25:50">
      <c r="Y2489" s="1042"/>
      <c r="Z2489" s="1042"/>
      <c r="AA2489" s="1042"/>
      <c r="AX2489" s="1042"/>
    </row>
    <row r="2490" spans="25:50">
      <c r="Y2490" s="1042"/>
      <c r="Z2490" s="1042"/>
      <c r="AA2490" s="1042"/>
      <c r="AX2490" s="1042"/>
    </row>
    <row r="2491" spans="25:50">
      <c r="Y2491" s="1042"/>
      <c r="Z2491" s="1042"/>
      <c r="AA2491" s="1042"/>
      <c r="AX2491" s="1042"/>
    </row>
    <row r="2492" spans="25:50">
      <c r="Y2492" s="1042"/>
      <c r="Z2492" s="1042"/>
      <c r="AA2492" s="1042"/>
      <c r="AX2492" s="1042"/>
    </row>
    <row r="2493" spans="25:50">
      <c r="Y2493" s="1042"/>
      <c r="Z2493" s="1042"/>
      <c r="AA2493" s="1042"/>
      <c r="AX2493" s="1042"/>
    </row>
    <row r="2494" spans="25:50">
      <c r="Y2494" s="1042"/>
      <c r="Z2494" s="1042"/>
      <c r="AA2494" s="1042"/>
      <c r="AX2494" s="1042"/>
    </row>
    <row r="2495" spans="25:50">
      <c r="Y2495" s="1042"/>
      <c r="Z2495" s="1042"/>
      <c r="AA2495" s="1042"/>
      <c r="AX2495" s="1042"/>
    </row>
    <row r="2496" spans="25:50">
      <c r="Y2496" s="1042"/>
      <c r="Z2496" s="1042"/>
      <c r="AA2496" s="1042"/>
      <c r="AX2496" s="1042"/>
    </row>
    <row r="2497" spans="25:50">
      <c r="Y2497" s="1042"/>
      <c r="Z2497" s="1042"/>
      <c r="AA2497" s="1042"/>
      <c r="AX2497" s="1042"/>
    </row>
    <row r="2498" spans="25:50">
      <c r="Y2498" s="1042"/>
      <c r="Z2498" s="1042"/>
      <c r="AA2498" s="1042"/>
      <c r="AX2498" s="1042"/>
    </row>
    <row r="2499" spans="25:50">
      <c r="Y2499" s="1042"/>
      <c r="Z2499" s="1042"/>
      <c r="AA2499" s="1042"/>
      <c r="AX2499" s="1042"/>
    </row>
    <row r="2500" spans="25:50">
      <c r="Y2500" s="1042"/>
      <c r="Z2500" s="1042"/>
      <c r="AA2500" s="1042"/>
      <c r="AX2500" s="1042"/>
    </row>
    <row r="2501" spans="25:50">
      <c r="Y2501" s="1042"/>
      <c r="Z2501" s="1042"/>
      <c r="AA2501" s="1042"/>
      <c r="AX2501" s="1042"/>
    </row>
    <row r="2502" spans="25:50">
      <c r="Y2502" s="1042"/>
      <c r="Z2502" s="1042"/>
      <c r="AA2502" s="1042"/>
      <c r="AX2502" s="1042"/>
    </row>
    <row r="2503" spans="25:50">
      <c r="Y2503" s="1042"/>
      <c r="Z2503" s="1042"/>
      <c r="AA2503" s="1042"/>
      <c r="AX2503" s="1042"/>
    </row>
    <row r="2504" spans="25:50">
      <c r="Y2504" s="1042"/>
      <c r="Z2504" s="1042"/>
      <c r="AA2504" s="1042"/>
      <c r="AX2504" s="1042"/>
    </row>
    <row r="2505" spans="25:50">
      <c r="Y2505" s="1042"/>
      <c r="Z2505" s="1042"/>
      <c r="AA2505" s="1042"/>
      <c r="AX2505" s="1042"/>
    </row>
    <row r="2506" spans="25:50">
      <c r="Y2506" s="1042"/>
      <c r="Z2506" s="1042"/>
      <c r="AA2506" s="1042"/>
      <c r="AX2506" s="1042"/>
    </row>
    <row r="2507" spans="25:50">
      <c r="Y2507" s="1042"/>
      <c r="Z2507" s="1042"/>
      <c r="AA2507" s="1042"/>
      <c r="AX2507" s="1042"/>
    </row>
    <row r="2508" spans="25:50">
      <c r="Y2508" s="1042"/>
      <c r="Z2508" s="1042"/>
      <c r="AA2508" s="1042"/>
      <c r="AX2508" s="1042"/>
    </row>
    <row r="2509" spans="25:50">
      <c r="Y2509" s="1042"/>
      <c r="Z2509" s="1042"/>
      <c r="AA2509" s="1042"/>
      <c r="AX2509" s="1042"/>
    </row>
    <row r="2510" spans="25:50">
      <c r="Y2510" s="1042"/>
      <c r="Z2510" s="1042"/>
      <c r="AA2510" s="1042"/>
      <c r="AX2510" s="1042"/>
    </row>
    <row r="2511" spans="25:50">
      <c r="Y2511" s="1042"/>
      <c r="Z2511" s="1042"/>
      <c r="AA2511" s="1042"/>
      <c r="AX2511" s="1042"/>
    </row>
    <row r="2512" spans="25:50">
      <c r="Y2512" s="1042"/>
      <c r="Z2512" s="1042"/>
      <c r="AA2512" s="1042"/>
      <c r="AX2512" s="1042"/>
    </row>
    <row r="2513" spans="25:50">
      <c r="Y2513" s="1042"/>
      <c r="Z2513" s="1042"/>
      <c r="AA2513" s="1042"/>
      <c r="AX2513" s="1042"/>
    </row>
    <row r="2514" spans="25:50">
      <c r="Y2514" s="1042"/>
      <c r="Z2514" s="1042"/>
      <c r="AA2514" s="1042"/>
      <c r="AX2514" s="1042"/>
    </row>
    <row r="2515" spans="25:50">
      <c r="Y2515" s="1042"/>
      <c r="Z2515" s="1042"/>
      <c r="AA2515" s="1042"/>
      <c r="AX2515" s="1042"/>
    </row>
    <row r="2516" spans="25:50">
      <c r="Y2516" s="1042"/>
      <c r="Z2516" s="1042"/>
      <c r="AA2516" s="1042"/>
      <c r="AX2516" s="1042"/>
    </row>
    <row r="2517" spans="25:50">
      <c r="Y2517" s="1042"/>
      <c r="Z2517" s="1042"/>
      <c r="AA2517" s="1042"/>
      <c r="AX2517" s="1042"/>
    </row>
    <row r="2518" spans="25:50">
      <c r="Y2518" s="1042"/>
      <c r="Z2518" s="1042"/>
      <c r="AA2518" s="1042"/>
      <c r="AX2518" s="1042"/>
    </row>
    <row r="2519" spans="25:50">
      <c r="Y2519" s="1042"/>
      <c r="Z2519" s="1042"/>
      <c r="AA2519" s="1042"/>
      <c r="AX2519" s="1042"/>
    </row>
    <row r="2520" spans="25:50">
      <c r="Y2520" s="1042"/>
      <c r="Z2520" s="1042"/>
      <c r="AA2520" s="1042"/>
      <c r="AX2520" s="1042"/>
    </row>
    <row r="2521" spans="25:50">
      <c r="Y2521" s="1042"/>
      <c r="Z2521" s="1042"/>
      <c r="AA2521" s="1042"/>
      <c r="AX2521" s="1042"/>
    </row>
    <row r="2522" spans="25:50">
      <c r="Y2522" s="1042"/>
      <c r="Z2522" s="1042"/>
      <c r="AA2522" s="1042"/>
      <c r="AX2522" s="1042"/>
    </row>
    <row r="2523" spans="25:50">
      <c r="Y2523" s="1042"/>
      <c r="Z2523" s="1042"/>
      <c r="AA2523" s="1042"/>
      <c r="AX2523" s="1042"/>
    </row>
    <row r="2524" spans="25:50">
      <c r="Y2524" s="1042"/>
      <c r="Z2524" s="1042"/>
      <c r="AA2524" s="1042"/>
      <c r="AX2524" s="1042"/>
    </row>
    <row r="2525" spans="25:50">
      <c r="Y2525" s="1042"/>
      <c r="Z2525" s="1042"/>
      <c r="AA2525" s="1042"/>
      <c r="AX2525" s="1042"/>
    </row>
    <row r="2526" spans="25:50">
      <c r="Y2526" s="1042"/>
      <c r="Z2526" s="1042"/>
      <c r="AA2526" s="1042"/>
      <c r="AX2526" s="1042"/>
    </row>
    <row r="2527" spans="25:50">
      <c r="Y2527" s="1042"/>
      <c r="Z2527" s="1042"/>
      <c r="AA2527" s="1042"/>
      <c r="AX2527" s="1042"/>
    </row>
    <row r="2528" spans="25:50">
      <c r="Y2528" s="1042"/>
      <c r="Z2528" s="1042"/>
      <c r="AA2528" s="1042"/>
      <c r="AX2528" s="1042"/>
    </row>
    <row r="2529" spans="25:50">
      <c r="Y2529" s="1042"/>
      <c r="Z2529" s="1042"/>
      <c r="AA2529" s="1042"/>
      <c r="AX2529" s="1042"/>
    </row>
    <row r="2530" spans="25:50">
      <c r="Y2530" s="1042"/>
      <c r="Z2530" s="1042"/>
      <c r="AA2530" s="1042"/>
      <c r="AX2530" s="1042"/>
    </row>
    <row r="2531" spans="25:50">
      <c r="Y2531" s="1042"/>
      <c r="Z2531" s="1042"/>
      <c r="AA2531" s="1042"/>
      <c r="AX2531" s="1042"/>
    </row>
    <row r="2532" spans="25:50">
      <c r="Y2532" s="1042"/>
      <c r="Z2532" s="1042"/>
      <c r="AA2532" s="1042"/>
      <c r="AX2532" s="1042"/>
    </row>
    <row r="2533" spans="25:50">
      <c r="Y2533" s="1042"/>
      <c r="Z2533" s="1042"/>
      <c r="AA2533" s="1042"/>
      <c r="AX2533" s="1042"/>
    </row>
    <row r="2534" spans="25:50">
      <c r="Y2534" s="1042"/>
      <c r="Z2534" s="1042"/>
      <c r="AA2534" s="1042"/>
      <c r="AX2534" s="1042"/>
    </row>
    <row r="2535" spans="25:50">
      <c r="Y2535" s="1042"/>
      <c r="Z2535" s="1042"/>
      <c r="AA2535" s="1042"/>
      <c r="AX2535" s="1042"/>
    </row>
    <row r="2536" spans="25:50">
      <c r="Y2536" s="1042"/>
      <c r="Z2536" s="1042"/>
      <c r="AA2536" s="1042"/>
      <c r="AX2536" s="1042"/>
    </row>
    <row r="2537" spans="25:50">
      <c r="Y2537" s="1042"/>
      <c r="Z2537" s="1042"/>
      <c r="AA2537" s="1042"/>
      <c r="AX2537" s="1042"/>
    </row>
    <row r="2538" spans="25:50">
      <c r="Y2538" s="1042"/>
      <c r="Z2538" s="1042"/>
      <c r="AA2538" s="1042"/>
      <c r="AX2538" s="1042"/>
    </row>
    <row r="2539" spans="25:50">
      <c r="Y2539" s="1042"/>
      <c r="Z2539" s="1042"/>
      <c r="AA2539" s="1042"/>
      <c r="AX2539" s="1042"/>
    </row>
    <row r="2540" spans="25:50">
      <c r="Y2540" s="1042"/>
      <c r="Z2540" s="1042"/>
      <c r="AA2540" s="1042"/>
      <c r="AX2540" s="1042"/>
    </row>
    <row r="2541" spans="25:50">
      <c r="Y2541" s="1042"/>
      <c r="Z2541" s="1042"/>
      <c r="AA2541" s="1042"/>
      <c r="AX2541" s="1042"/>
    </row>
    <row r="2542" spans="25:50">
      <c r="Y2542" s="1042"/>
      <c r="Z2542" s="1042"/>
      <c r="AA2542" s="1042"/>
      <c r="AX2542" s="1042"/>
    </row>
    <row r="2543" spans="25:50">
      <c r="Y2543" s="1042"/>
      <c r="Z2543" s="1042"/>
      <c r="AA2543" s="1042"/>
      <c r="AX2543" s="1042"/>
    </row>
    <row r="2544" spans="25:50">
      <c r="Y2544" s="1042"/>
      <c r="Z2544" s="1042"/>
      <c r="AA2544" s="1042"/>
      <c r="AX2544" s="1042"/>
    </row>
    <row r="2545" spans="25:50">
      <c r="Y2545" s="1042"/>
      <c r="Z2545" s="1042"/>
      <c r="AA2545" s="1042"/>
      <c r="AX2545" s="1042"/>
    </row>
    <row r="2546" spans="25:50">
      <c r="Y2546" s="1042"/>
      <c r="Z2546" s="1042"/>
      <c r="AA2546" s="1042"/>
      <c r="AX2546" s="1042"/>
    </row>
    <row r="2547" spans="25:50">
      <c r="Y2547" s="1042"/>
      <c r="Z2547" s="1042"/>
      <c r="AA2547" s="1042"/>
      <c r="AX2547" s="1042"/>
    </row>
    <row r="2548" spans="25:50">
      <c r="Y2548" s="1042"/>
      <c r="Z2548" s="1042"/>
      <c r="AA2548" s="1042"/>
      <c r="AX2548" s="1042"/>
    </row>
    <row r="2549" spans="25:50">
      <c r="Y2549" s="1042"/>
      <c r="Z2549" s="1042"/>
      <c r="AA2549" s="1042"/>
      <c r="AX2549" s="1042"/>
    </row>
    <row r="2550" spans="25:50">
      <c r="Y2550" s="1042"/>
      <c r="Z2550" s="1042"/>
      <c r="AA2550" s="1042"/>
      <c r="AX2550" s="1042"/>
    </row>
    <row r="2551" spans="25:50">
      <c r="Y2551" s="1042"/>
      <c r="Z2551" s="1042"/>
      <c r="AA2551" s="1042"/>
      <c r="AX2551" s="1042"/>
    </row>
    <row r="2552" spans="25:50">
      <c r="Y2552" s="1042"/>
      <c r="Z2552" s="1042"/>
      <c r="AA2552" s="1042"/>
      <c r="AX2552" s="1042"/>
    </row>
    <row r="2553" spans="25:50">
      <c r="Y2553" s="1042"/>
      <c r="Z2553" s="1042"/>
      <c r="AA2553" s="1042"/>
      <c r="AX2553" s="1042"/>
    </row>
    <row r="2554" spans="25:50">
      <c r="Y2554" s="1042"/>
      <c r="Z2554" s="1042"/>
      <c r="AA2554" s="1042"/>
      <c r="AX2554" s="1042"/>
    </row>
    <row r="2555" spans="25:50">
      <c r="Y2555" s="1042"/>
      <c r="Z2555" s="1042"/>
      <c r="AA2555" s="1042"/>
      <c r="AX2555" s="1042"/>
    </row>
    <row r="2556" spans="25:50">
      <c r="Y2556" s="1042"/>
      <c r="Z2556" s="1042"/>
      <c r="AA2556" s="1042"/>
      <c r="AX2556" s="1042"/>
    </row>
    <row r="2557" spans="25:50">
      <c r="Y2557" s="1042"/>
      <c r="Z2557" s="1042"/>
      <c r="AA2557" s="1042"/>
      <c r="AX2557" s="1042"/>
    </row>
    <row r="2558" spans="25:50">
      <c r="Y2558" s="1042"/>
      <c r="Z2558" s="1042"/>
      <c r="AA2558" s="1042"/>
      <c r="AX2558" s="1042"/>
    </row>
    <row r="2559" spans="25:50">
      <c r="Y2559" s="1042"/>
      <c r="Z2559" s="1042"/>
      <c r="AA2559" s="1042"/>
      <c r="AX2559" s="1042"/>
    </row>
    <row r="2560" spans="25:50">
      <c r="Y2560" s="1042"/>
      <c r="Z2560" s="1042"/>
      <c r="AA2560" s="1042"/>
      <c r="AX2560" s="1042"/>
    </row>
    <row r="2561" spans="25:50">
      <c r="Y2561" s="1042"/>
      <c r="Z2561" s="1042"/>
      <c r="AA2561" s="1042"/>
      <c r="AX2561" s="1042"/>
    </row>
    <row r="2562" spans="25:50">
      <c r="Y2562" s="1042"/>
      <c r="Z2562" s="1042"/>
      <c r="AA2562" s="1042"/>
      <c r="AX2562" s="1042"/>
    </row>
    <row r="2563" spans="25:50">
      <c r="Y2563" s="1042"/>
      <c r="Z2563" s="1042"/>
      <c r="AA2563" s="1042"/>
      <c r="AX2563" s="1042"/>
    </row>
    <row r="2564" spans="25:50">
      <c r="Y2564" s="1042"/>
      <c r="Z2564" s="1042"/>
      <c r="AA2564" s="1042"/>
      <c r="AX2564" s="1042"/>
    </row>
    <row r="2565" spans="25:50">
      <c r="Y2565" s="1042"/>
      <c r="Z2565" s="1042"/>
      <c r="AA2565" s="1042"/>
      <c r="AX2565" s="1042"/>
    </row>
    <row r="2566" spans="25:50">
      <c r="Y2566" s="1042"/>
      <c r="Z2566" s="1042"/>
      <c r="AA2566" s="1042"/>
      <c r="AX2566" s="1042"/>
    </row>
    <row r="2567" spans="25:50">
      <c r="Y2567" s="1042"/>
      <c r="Z2567" s="1042"/>
      <c r="AA2567" s="1042"/>
      <c r="AX2567" s="1042"/>
    </row>
    <row r="2568" spans="25:50">
      <c r="Y2568" s="1042"/>
      <c r="Z2568" s="1042"/>
      <c r="AA2568" s="1042"/>
      <c r="AX2568" s="1042"/>
    </row>
    <row r="2569" spans="25:50">
      <c r="Y2569" s="1042"/>
      <c r="Z2569" s="1042"/>
      <c r="AA2569" s="1042"/>
      <c r="AX2569" s="1042"/>
    </row>
    <row r="2570" spans="25:50">
      <c r="Y2570" s="1042"/>
      <c r="Z2570" s="1042"/>
      <c r="AA2570" s="1042"/>
      <c r="AX2570" s="1042"/>
    </row>
    <row r="2571" spans="25:50">
      <c r="Y2571" s="1042"/>
      <c r="Z2571" s="1042"/>
      <c r="AA2571" s="1042"/>
      <c r="AX2571" s="1042"/>
    </row>
    <row r="2572" spans="25:50">
      <c r="Y2572" s="1042"/>
      <c r="Z2572" s="1042"/>
      <c r="AA2572" s="1042"/>
      <c r="AX2572" s="1042"/>
    </row>
    <row r="2573" spans="25:50">
      <c r="Y2573" s="1042"/>
      <c r="Z2573" s="1042"/>
      <c r="AA2573" s="1042"/>
      <c r="AX2573" s="1042"/>
    </row>
    <row r="2574" spans="25:50">
      <c r="Y2574" s="1042"/>
      <c r="Z2574" s="1042"/>
      <c r="AA2574" s="1042"/>
      <c r="AX2574" s="1042"/>
    </row>
    <row r="2575" spans="25:50">
      <c r="Y2575" s="1042"/>
      <c r="Z2575" s="1042"/>
      <c r="AA2575" s="1042"/>
      <c r="AX2575" s="1042"/>
    </row>
    <row r="2576" spans="25:50">
      <c r="Y2576" s="1042"/>
      <c r="Z2576" s="1042"/>
      <c r="AA2576" s="1042"/>
      <c r="AX2576" s="1042"/>
    </row>
    <row r="2577" spans="25:50">
      <c r="Y2577" s="1042"/>
      <c r="Z2577" s="1042"/>
      <c r="AA2577" s="1042"/>
      <c r="AX2577" s="1042"/>
    </row>
    <row r="2578" spans="25:50">
      <c r="Y2578" s="1042"/>
      <c r="Z2578" s="1042"/>
      <c r="AA2578" s="1042"/>
      <c r="AX2578" s="1042"/>
    </row>
    <row r="2579" spans="25:50">
      <c r="Y2579" s="1042"/>
      <c r="Z2579" s="1042"/>
      <c r="AA2579" s="1042"/>
      <c r="AX2579" s="1042"/>
    </row>
    <row r="2580" spans="25:50">
      <c r="Y2580" s="1042"/>
      <c r="Z2580" s="1042"/>
      <c r="AA2580" s="1042"/>
      <c r="AX2580" s="1042"/>
    </row>
    <row r="2581" spans="25:50">
      <c r="Y2581" s="1042"/>
      <c r="Z2581" s="1042"/>
      <c r="AA2581" s="1042"/>
      <c r="AX2581" s="1042"/>
    </row>
    <row r="2582" spans="25:50">
      <c r="Y2582" s="1042"/>
      <c r="Z2582" s="1042"/>
      <c r="AA2582" s="1042"/>
      <c r="AX2582" s="1042"/>
    </row>
    <row r="2583" spans="25:50">
      <c r="Y2583" s="1042"/>
      <c r="Z2583" s="1042"/>
      <c r="AA2583" s="1042"/>
      <c r="AX2583" s="1042"/>
    </row>
    <row r="2584" spans="25:50">
      <c r="Y2584" s="1042"/>
      <c r="Z2584" s="1042"/>
      <c r="AA2584" s="1042"/>
      <c r="AX2584" s="1042"/>
    </row>
    <row r="2585" spans="25:50">
      <c r="Y2585" s="1042"/>
      <c r="Z2585" s="1042"/>
      <c r="AA2585" s="1042"/>
      <c r="AX2585" s="1042"/>
    </row>
    <row r="2586" spans="25:50">
      <c r="Y2586" s="1042"/>
      <c r="Z2586" s="1042"/>
      <c r="AA2586" s="1042"/>
      <c r="AX2586" s="1042"/>
    </row>
    <row r="2587" spans="25:50">
      <c r="Y2587" s="1042"/>
      <c r="Z2587" s="1042"/>
      <c r="AA2587" s="1042"/>
      <c r="AX2587" s="1042"/>
    </row>
    <row r="2588" spans="25:50">
      <c r="Y2588" s="1042"/>
      <c r="Z2588" s="1042"/>
      <c r="AA2588" s="1042"/>
      <c r="AX2588" s="1042"/>
    </row>
    <row r="2589" spans="25:50">
      <c r="Y2589" s="1042"/>
      <c r="Z2589" s="1042"/>
      <c r="AA2589" s="1042"/>
      <c r="AX2589" s="1042"/>
    </row>
    <row r="2590" spans="25:50">
      <c r="Y2590" s="1042"/>
      <c r="Z2590" s="1042"/>
      <c r="AA2590" s="1042"/>
      <c r="AX2590" s="1042"/>
    </row>
    <row r="2591" spans="25:50">
      <c r="Y2591" s="1042"/>
      <c r="Z2591" s="1042"/>
      <c r="AA2591" s="1042"/>
      <c r="AX2591" s="1042"/>
    </row>
    <row r="2592" spans="25:50">
      <c r="Y2592" s="1042"/>
      <c r="Z2592" s="1042"/>
      <c r="AA2592" s="1042"/>
      <c r="AX2592" s="1042"/>
    </row>
    <row r="2593" spans="25:50">
      <c r="Y2593" s="1042"/>
      <c r="Z2593" s="1042"/>
      <c r="AA2593" s="1042"/>
      <c r="AX2593" s="1042"/>
    </row>
    <row r="2594" spans="25:50">
      <c r="Y2594" s="1042"/>
      <c r="Z2594" s="1042"/>
      <c r="AA2594" s="1042"/>
      <c r="AX2594" s="1042"/>
    </row>
    <row r="2595" spans="25:50">
      <c r="Y2595" s="1042"/>
      <c r="Z2595" s="1042"/>
      <c r="AA2595" s="1042"/>
      <c r="AX2595" s="1042"/>
    </row>
    <row r="2596" spans="25:50">
      <c r="Y2596" s="1042"/>
      <c r="Z2596" s="1042"/>
      <c r="AA2596" s="1042"/>
      <c r="AX2596" s="1042"/>
    </row>
    <row r="2597" spans="25:50">
      <c r="Y2597" s="1042"/>
      <c r="Z2597" s="1042"/>
      <c r="AA2597" s="1042"/>
      <c r="AX2597" s="1042"/>
    </row>
    <row r="2598" spans="25:50">
      <c r="Y2598" s="1042"/>
      <c r="Z2598" s="1042"/>
      <c r="AA2598" s="1042"/>
      <c r="AX2598" s="1042"/>
    </row>
    <row r="2599" spans="25:50">
      <c r="Y2599" s="1042"/>
      <c r="Z2599" s="1042"/>
      <c r="AA2599" s="1042"/>
      <c r="AX2599" s="1042"/>
    </row>
    <row r="2600" spans="25:50">
      <c r="Y2600" s="1042"/>
      <c r="Z2600" s="1042"/>
      <c r="AA2600" s="1042"/>
      <c r="AX2600" s="1042"/>
    </row>
    <row r="2601" spans="25:50">
      <c r="Y2601" s="1042"/>
      <c r="Z2601" s="1042"/>
      <c r="AA2601" s="1042"/>
      <c r="AX2601" s="1042"/>
    </row>
    <row r="2602" spans="25:50">
      <c r="Y2602" s="1042"/>
      <c r="Z2602" s="1042"/>
      <c r="AA2602" s="1042"/>
      <c r="AX2602" s="1042"/>
    </row>
    <row r="2603" spans="25:50">
      <c r="Y2603" s="1042"/>
      <c r="Z2603" s="1042"/>
      <c r="AA2603" s="1042"/>
      <c r="AX2603" s="1042"/>
    </row>
    <row r="2604" spans="25:50">
      <c r="Y2604" s="1042"/>
      <c r="Z2604" s="1042"/>
      <c r="AA2604" s="1042"/>
      <c r="AX2604" s="1042"/>
    </row>
    <row r="2605" spans="25:50">
      <c r="Y2605" s="1042"/>
      <c r="Z2605" s="1042"/>
      <c r="AA2605" s="1042"/>
      <c r="AX2605" s="1042"/>
    </row>
    <row r="2606" spans="25:50">
      <c r="Y2606" s="1042"/>
      <c r="Z2606" s="1042"/>
      <c r="AA2606" s="1042"/>
      <c r="AX2606" s="1042"/>
    </row>
    <row r="2607" spans="25:50">
      <c r="Y2607" s="1042"/>
      <c r="Z2607" s="1042"/>
      <c r="AA2607" s="1042"/>
      <c r="AX2607" s="1042"/>
    </row>
    <row r="2608" spans="25:50">
      <c r="Y2608" s="1042"/>
      <c r="Z2608" s="1042"/>
      <c r="AA2608" s="1042"/>
      <c r="AX2608" s="1042"/>
    </row>
    <row r="2609" spans="25:50">
      <c r="Y2609" s="1042"/>
      <c r="Z2609" s="1042"/>
      <c r="AA2609" s="1042"/>
      <c r="AX2609" s="1042"/>
    </row>
    <row r="2610" spans="25:50">
      <c r="Y2610" s="1042"/>
      <c r="Z2610" s="1042"/>
      <c r="AA2610" s="1042"/>
      <c r="AX2610" s="1042"/>
    </row>
    <row r="2611" spans="25:50">
      <c r="Y2611" s="1042"/>
      <c r="Z2611" s="1042"/>
      <c r="AA2611" s="1042"/>
      <c r="AX2611" s="1042"/>
    </row>
    <row r="2612" spans="25:50">
      <c r="Y2612" s="1042"/>
      <c r="Z2612" s="1042"/>
      <c r="AA2612" s="1042"/>
      <c r="AX2612" s="1042"/>
    </row>
    <row r="2613" spans="25:50">
      <c r="Y2613" s="1042"/>
      <c r="Z2613" s="1042"/>
      <c r="AA2613" s="1042"/>
      <c r="AX2613" s="1042"/>
    </row>
    <row r="2614" spans="25:50">
      <c r="Y2614" s="1042"/>
      <c r="Z2614" s="1042"/>
      <c r="AA2614" s="1042"/>
      <c r="AX2614" s="1042"/>
    </row>
    <row r="2615" spans="25:50">
      <c r="Y2615" s="1042"/>
      <c r="Z2615" s="1042"/>
      <c r="AA2615" s="1042"/>
      <c r="AX2615" s="1042"/>
    </row>
    <row r="2616" spans="25:50">
      <c r="Y2616" s="1042"/>
      <c r="Z2616" s="1042"/>
      <c r="AA2616" s="1042"/>
      <c r="AX2616" s="1042"/>
    </row>
    <row r="2617" spans="25:50">
      <c r="Y2617" s="1042"/>
      <c r="Z2617" s="1042"/>
      <c r="AA2617" s="1042"/>
      <c r="AX2617" s="1042"/>
    </row>
    <row r="2618" spans="25:50">
      <c r="Y2618" s="1042"/>
      <c r="Z2618" s="1042"/>
      <c r="AA2618" s="1042"/>
      <c r="AX2618" s="1042"/>
    </row>
    <row r="2619" spans="25:50">
      <c r="Y2619" s="1042"/>
      <c r="Z2619" s="1042"/>
      <c r="AA2619" s="1042"/>
      <c r="AX2619" s="1042"/>
    </row>
    <row r="2620" spans="25:50">
      <c r="Y2620" s="1042"/>
      <c r="Z2620" s="1042"/>
      <c r="AA2620" s="1042"/>
      <c r="AX2620" s="1042"/>
    </row>
    <row r="2621" spans="25:50">
      <c r="Y2621" s="1042"/>
      <c r="Z2621" s="1042"/>
      <c r="AA2621" s="1042"/>
      <c r="AX2621" s="1042"/>
    </row>
    <row r="2622" spans="25:50">
      <c r="Y2622" s="1042"/>
      <c r="Z2622" s="1042"/>
      <c r="AA2622" s="1042"/>
      <c r="AX2622" s="1042"/>
    </row>
    <row r="2623" spans="25:50">
      <c r="Y2623" s="1042"/>
      <c r="Z2623" s="1042"/>
      <c r="AA2623" s="1042"/>
      <c r="AX2623" s="1042"/>
    </row>
    <row r="2624" spans="25:50">
      <c r="Y2624" s="1042"/>
      <c r="Z2624" s="1042"/>
      <c r="AA2624" s="1042"/>
      <c r="AX2624" s="1042"/>
    </row>
    <row r="2625" spans="25:50">
      <c r="Y2625" s="1042"/>
      <c r="Z2625" s="1042"/>
      <c r="AA2625" s="1042"/>
      <c r="AX2625" s="1042"/>
    </row>
    <row r="2626" spans="25:50">
      <c r="Y2626" s="1042"/>
      <c r="Z2626" s="1042"/>
      <c r="AA2626" s="1042"/>
      <c r="AX2626" s="1042"/>
    </row>
    <row r="2627" spans="25:50">
      <c r="Y2627" s="1042"/>
      <c r="Z2627" s="1042"/>
      <c r="AA2627" s="1042"/>
      <c r="AX2627" s="1042"/>
    </row>
    <row r="2628" spans="25:50">
      <c r="Y2628" s="1042"/>
      <c r="Z2628" s="1042"/>
      <c r="AA2628" s="1042"/>
      <c r="AX2628" s="1042"/>
    </row>
    <row r="2629" spans="25:50">
      <c r="Y2629" s="1042"/>
      <c r="Z2629" s="1042"/>
      <c r="AA2629" s="1042"/>
      <c r="AX2629" s="1042"/>
    </row>
    <row r="2630" spans="25:50">
      <c r="Y2630" s="1042"/>
      <c r="Z2630" s="1042"/>
      <c r="AA2630" s="1042"/>
      <c r="AX2630" s="1042"/>
    </row>
    <row r="2631" spans="25:50">
      <c r="Y2631" s="1042"/>
      <c r="Z2631" s="1042"/>
      <c r="AA2631" s="1042"/>
      <c r="AX2631" s="1042"/>
    </row>
    <row r="2632" spans="25:50">
      <c r="Y2632" s="1042"/>
      <c r="Z2632" s="1042"/>
      <c r="AA2632" s="1042"/>
      <c r="AX2632" s="1042"/>
    </row>
    <row r="2633" spans="25:50">
      <c r="Y2633" s="1042"/>
      <c r="Z2633" s="1042"/>
      <c r="AA2633" s="1042"/>
      <c r="AX2633" s="1042"/>
    </row>
    <row r="2634" spans="25:50">
      <c r="Y2634" s="1042"/>
      <c r="Z2634" s="1042"/>
      <c r="AA2634" s="1042"/>
      <c r="AX2634" s="1042"/>
    </row>
    <row r="2635" spans="25:50">
      <c r="Y2635" s="1042"/>
      <c r="Z2635" s="1042"/>
      <c r="AA2635" s="1042"/>
      <c r="AX2635" s="1042"/>
    </row>
    <row r="2636" spans="25:50">
      <c r="Y2636" s="1042"/>
      <c r="Z2636" s="1042"/>
      <c r="AA2636" s="1042"/>
      <c r="AX2636" s="1042"/>
    </row>
    <row r="2637" spans="25:50">
      <c r="Y2637" s="1042"/>
      <c r="Z2637" s="1042"/>
      <c r="AA2637" s="1042"/>
      <c r="AX2637" s="1042"/>
    </row>
    <row r="2638" spans="25:50">
      <c r="Y2638" s="1042"/>
      <c r="Z2638" s="1042"/>
      <c r="AA2638" s="1042"/>
      <c r="AX2638" s="1042"/>
    </row>
    <row r="2639" spans="25:50">
      <c r="Y2639" s="1042"/>
      <c r="Z2639" s="1042"/>
      <c r="AA2639" s="1042"/>
      <c r="AX2639" s="1042"/>
    </row>
    <row r="2640" spans="25:50">
      <c r="Y2640" s="1042"/>
      <c r="Z2640" s="1042"/>
      <c r="AA2640" s="1042"/>
      <c r="AX2640" s="1042"/>
    </row>
    <row r="2641" spans="25:50">
      <c r="Y2641" s="1042"/>
      <c r="Z2641" s="1042"/>
      <c r="AA2641" s="1042"/>
      <c r="AX2641" s="1042"/>
    </row>
    <row r="2642" spans="25:50">
      <c r="Y2642" s="1042"/>
      <c r="Z2642" s="1042"/>
      <c r="AA2642" s="1042"/>
      <c r="AX2642" s="1042"/>
    </row>
    <row r="2643" spans="25:50">
      <c r="Y2643" s="1042"/>
      <c r="Z2643" s="1042"/>
      <c r="AA2643" s="1042"/>
      <c r="AX2643" s="1042"/>
    </row>
    <row r="2644" spans="25:50">
      <c r="Y2644" s="1042"/>
      <c r="Z2644" s="1042"/>
      <c r="AA2644" s="1042"/>
      <c r="AX2644" s="1042"/>
    </row>
    <row r="2645" spans="25:50">
      <c r="Y2645" s="1042"/>
      <c r="Z2645" s="1042"/>
      <c r="AA2645" s="1042"/>
      <c r="AX2645" s="1042"/>
    </row>
    <row r="2646" spans="25:50">
      <c r="Y2646" s="1042"/>
      <c r="Z2646" s="1042"/>
      <c r="AA2646" s="1042"/>
      <c r="AX2646" s="1042"/>
    </row>
    <row r="2647" spans="25:50">
      <c r="Y2647" s="1042"/>
      <c r="Z2647" s="1042"/>
      <c r="AA2647" s="1042"/>
      <c r="AX2647" s="1042"/>
    </row>
    <row r="2648" spans="25:50">
      <c r="Y2648" s="1042"/>
      <c r="Z2648" s="1042"/>
      <c r="AA2648" s="1042"/>
      <c r="AX2648" s="1042"/>
    </row>
    <row r="2649" spans="25:50">
      <c r="Y2649" s="1042"/>
      <c r="Z2649" s="1042"/>
      <c r="AA2649" s="1042"/>
      <c r="AX2649" s="1042"/>
    </row>
    <row r="2650" spans="25:50">
      <c r="Y2650" s="1042"/>
      <c r="Z2650" s="1042"/>
      <c r="AA2650" s="1042"/>
      <c r="AX2650" s="1042"/>
    </row>
    <row r="2651" spans="25:50">
      <c r="Y2651" s="1042"/>
      <c r="Z2651" s="1042"/>
      <c r="AA2651" s="1042"/>
      <c r="AX2651" s="1042"/>
    </row>
    <row r="2652" spans="25:50">
      <c r="Y2652" s="1042"/>
      <c r="Z2652" s="1042"/>
      <c r="AA2652" s="1042"/>
      <c r="AX2652" s="1042"/>
    </row>
    <row r="2653" spans="25:50">
      <c r="Y2653" s="1042"/>
      <c r="Z2653" s="1042"/>
      <c r="AA2653" s="1042"/>
      <c r="AX2653" s="1042"/>
    </row>
    <row r="2654" spans="25:50">
      <c r="Y2654" s="1042"/>
      <c r="Z2654" s="1042"/>
      <c r="AA2654" s="1042"/>
      <c r="AX2654" s="1042"/>
    </row>
    <row r="2655" spans="25:50">
      <c r="Y2655" s="1042"/>
      <c r="Z2655" s="1042"/>
      <c r="AA2655" s="1042"/>
      <c r="AX2655" s="1042"/>
    </row>
    <row r="2656" spans="25:50">
      <c r="Y2656" s="1042"/>
      <c r="Z2656" s="1042"/>
      <c r="AA2656" s="1042"/>
      <c r="AX2656" s="1042"/>
    </row>
    <row r="2657" spans="25:50">
      <c r="Y2657" s="1042"/>
      <c r="Z2657" s="1042"/>
      <c r="AA2657" s="1042"/>
      <c r="AX2657" s="1042"/>
    </row>
    <row r="2658" spans="25:50">
      <c r="Y2658" s="1042"/>
      <c r="Z2658" s="1042"/>
      <c r="AA2658" s="1042"/>
      <c r="AX2658" s="1042"/>
    </row>
    <row r="2659" spans="25:50">
      <c r="Y2659" s="1042"/>
      <c r="Z2659" s="1042"/>
      <c r="AA2659" s="1042"/>
      <c r="AX2659" s="1042"/>
    </row>
    <row r="2660" spans="25:50">
      <c r="Y2660" s="1042"/>
      <c r="Z2660" s="1042"/>
      <c r="AA2660" s="1042"/>
      <c r="AX2660" s="1042"/>
    </row>
    <row r="2661" spans="25:50">
      <c r="Y2661" s="1042"/>
      <c r="Z2661" s="1042"/>
      <c r="AA2661" s="1042"/>
      <c r="AX2661" s="1042"/>
    </row>
    <row r="2662" spans="25:50">
      <c r="Y2662" s="1042"/>
      <c r="Z2662" s="1042"/>
      <c r="AA2662" s="1042"/>
      <c r="AX2662" s="1042"/>
    </row>
    <row r="2663" spans="25:50">
      <c r="Y2663" s="1042"/>
      <c r="Z2663" s="1042"/>
      <c r="AA2663" s="1042"/>
      <c r="AX2663" s="1042"/>
    </row>
    <row r="2664" spans="25:50">
      <c r="Y2664" s="1042"/>
      <c r="Z2664" s="1042"/>
      <c r="AA2664" s="1042"/>
      <c r="AX2664" s="1042"/>
    </row>
    <row r="2665" spans="25:50">
      <c r="Y2665" s="1042"/>
      <c r="Z2665" s="1042"/>
      <c r="AA2665" s="1042"/>
      <c r="AX2665" s="1042"/>
    </row>
    <row r="2666" spans="25:50">
      <c r="Y2666" s="1042"/>
      <c r="Z2666" s="1042"/>
      <c r="AA2666" s="1042"/>
      <c r="AX2666" s="1042"/>
    </row>
    <row r="2667" spans="25:50">
      <c r="Y2667" s="1042"/>
      <c r="Z2667" s="1042"/>
      <c r="AA2667" s="1042"/>
      <c r="AX2667" s="1042"/>
    </row>
    <row r="2668" spans="25:50">
      <c r="Y2668" s="1042"/>
      <c r="Z2668" s="1042"/>
      <c r="AA2668" s="1042"/>
      <c r="AX2668" s="1042"/>
    </row>
    <row r="2669" spans="25:50">
      <c r="Y2669" s="1042"/>
      <c r="Z2669" s="1042"/>
      <c r="AA2669" s="1042"/>
      <c r="AX2669" s="1042"/>
    </row>
    <row r="2670" spans="25:50">
      <c r="Y2670" s="1042"/>
      <c r="Z2670" s="1042"/>
      <c r="AA2670" s="1042"/>
      <c r="AX2670" s="1042"/>
    </row>
    <row r="2671" spans="25:50">
      <c r="Y2671" s="1042"/>
      <c r="Z2671" s="1042"/>
      <c r="AA2671" s="1042"/>
      <c r="AX2671" s="1042"/>
    </row>
    <row r="2672" spans="25:50">
      <c r="Y2672" s="1042"/>
      <c r="Z2672" s="1042"/>
      <c r="AA2672" s="1042"/>
      <c r="AX2672" s="1042"/>
    </row>
    <row r="2673" spans="25:50">
      <c r="Y2673" s="1042"/>
      <c r="Z2673" s="1042"/>
      <c r="AA2673" s="1042"/>
      <c r="AX2673" s="1042"/>
    </row>
    <row r="2674" spans="25:50">
      <c r="Y2674" s="1042"/>
      <c r="Z2674" s="1042"/>
      <c r="AA2674" s="1042"/>
      <c r="AX2674" s="1042"/>
    </row>
    <row r="2675" spans="25:50">
      <c r="Y2675" s="1042"/>
      <c r="Z2675" s="1042"/>
      <c r="AA2675" s="1042"/>
      <c r="AX2675" s="1042"/>
    </row>
    <row r="2676" spans="25:50">
      <c r="Y2676" s="1042"/>
      <c r="Z2676" s="1042"/>
      <c r="AA2676" s="1042"/>
      <c r="AX2676" s="1042"/>
    </row>
    <row r="2677" spans="25:50">
      <c r="Y2677" s="1042"/>
      <c r="Z2677" s="1042"/>
      <c r="AA2677" s="1042"/>
      <c r="AX2677" s="1042"/>
    </row>
    <row r="2678" spans="25:50">
      <c r="Y2678" s="1042"/>
      <c r="Z2678" s="1042"/>
      <c r="AA2678" s="1042"/>
      <c r="AX2678" s="1042"/>
    </row>
    <row r="2679" spans="25:50">
      <c r="Y2679" s="1042"/>
      <c r="Z2679" s="1042"/>
      <c r="AA2679" s="1042"/>
      <c r="AX2679" s="1042"/>
    </row>
    <row r="2680" spans="25:50">
      <c r="Y2680" s="1042"/>
      <c r="Z2680" s="1042"/>
      <c r="AA2680" s="1042"/>
      <c r="AX2680" s="1042"/>
    </row>
    <row r="2681" spans="25:50">
      <c r="Y2681" s="1042"/>
      <c r="Z2681" s="1042"/>
      <c r="AA2681" s="1042"/>
      <c r="AX2681" s="1042"/>
    </row>
    <row r="2682" spans="25:50">
      <c r="Y2682" s="1042"/>
      <c r="Z2682" s="1042"/>
      <c r="AA2682" s="1042"/>
      <c r="AX2682" s="1042"/>
    </row>
    <row r="2683" spans="25:50">
      <c r="Y2683" s="1042"/>
      <c r="Z2683" s="1042"/>
      <c r="AA2683" s="1042"/>
      <c r="AX2683" s="1042"/>
    </row>
    <row r="2684" spans="25:50">
      <c r="Y2684" s="1042"/>
      <c r="Z2684" s="1042"/>
      <c r="AA2684" s="1042"/>
      <c r="AX2684" s="1042"/>
    </row>
    <row r="2685" spans="25:50">
      <c r="Y2685" s="1042"/>
      <c r="Z2685" s="1042"/>
      <c r="AA2685" s="1042"/>
      <c r="AX2685" s="1042"/>
    </row>
    <row r="2686" spans="25:50">
      <c r="Y2686" s="1042"/>
      <c r="Z2686" s="1042"/>
      <c r="AA2686" s="1042"/>
      <c r="AX2686" s="1042"/>
    </row>
    <row r="2687" spans="25:50">
      <c r="Y2687" s="1042"/>
      <c r="Z2687" s="1042"/>
      <c r="AA2687" s="1042"/>
      <c r="AX2687" s="1042"/>
    </row>
    <row r="2688" spans="25:50">
      <c r="Y2688" s="1042"/>
      <c r="Z2688" s="1042"/>
      <c r="AA2688" s="1042"/>
      <c r="AX2688" s="1042"/>
    </row>
    <row r="2689" spans="25:50">
      <c r="Y2689" s="1042"/>
      <c r="Z2689" s="1042"/>
      <c r="AA2689" s="1042"/>
      <c r="AX2689" s="1042"/>
    </row>
    <row r="2690" spans="25:50">
      <c r="Y2690" s="1042"/>
      <c r="Z2690" s="1042"/>
      <c r="AA2690" s="1042"/>
      <c r="AX2690" s="1042"/>
    </row>
    <row r="2691" spans="25:50">
      <c r="Y2691" s="1042"/>
      <c r="Z2691" s="1042"/>
      <c r="AA2691" s="1042"/>
      <c r="AX2691" s="1042"/>
    </row>
    <row r="2692" spans="25:50">
      <c r="Y2692" s="1042"/>
      <c r="Z2692" s="1042"/>
      <c r="AA2692" s="1042"/>
      <c r="AX2692" s="1042"/>
    </row>
    <row r="2693" spans="25:50">
      <c r="Y2693" s="1042"/>
      <c r="Z2693" s="1042"/>
      <c r="AA2693" s="1042"/>
      <c r="AX2693" s="1042"/>
    </row>
    <row r="2694" spans="25:50">
      <c r="Y2694" s="1042"/>
      <c r="Z2694" s="1042"/>
      <c r="AA2694" s="1042"/>
      <c r="AX2694" s="1042"/>
    </row>
    <row r="2695" spans="25:50">
      <c r="Y2695" s="1042"/>
      <c r="Z2695" s="1042"/>
      <c r="AA2695" s="1042"/>
      <c r="AX2695" s="1042"/>
    </row>
    <row r="2696" spans="25:50">
      <c r="Y2696" s="1042"/>
      <c r="Z2696" s="1042"/>
      <c r="AA2696" s="1042"/>
      <c r="AX2696" s="1042"/>
    </row>
    <row r="2697" spans="25:50">
      <c r="Y2697" s="1042"/>
      <c r="Z2697" s="1042"/>
      <c r="AA2697" s="1042"/>
      <c r="AX2697" s="1042"/>
    </row>
    <row r="2698" spans="25:50">
      <c r="Y2698" s="1042"/>
      <c r="Z2698" s="1042"/>
      <c r="AA2698" s="1042"/>
      <c r="AX2698" s="1042"/>
    </row>
    <row r="2699" spans="25:50">
      <c r="Y2699" s="1042"/>
      <c r="Z2699" s="1042"/>
      <c r="AA2699" s="1042"/>
      <c r="AX2699" s="1042"/>
    </row>
    <row r="2700" spans="25:50">
      <c r="Y2700" s="1042"/>
      <c r="Z2700" s="1042"/>
      <c r="AA2700" s="1042"/>
      <c r="AX2700" s="1042"/>
    </row>
    <row r="2701" spans="25:50">
      <c r="Y2701" s="1042"/>
      <c r="Z2701" s="1042"/>
      <c r="AA2701" s="1042"/>
      <c r="AX2701" s="1042"/>
    </row>
    <row r="2702" spans="25:50">
      <c r="Y2702" s="1042"/>
      <c r="Z2702" s="1042"/>
      <c r="AA2702" s="1042"/>
      <c r="AX2702" s="1042"/>
    </row>
    <row r="2703" spans="25:50">
      <c r="Y2703" s="1042"/>
      <c r="Z2703" s="1042"/>
      <c r="AA2703" s="1042"/>
      <c r="AX2703" s="1042"/>
    </row>
    <row r="2704" spans="25:50">
      <c r="Y2704" s="1042"/>
      <c r="Z2704" s="1042"/>
      <c r="AA2704" s="1042"/>
      <c r="AX2704" s="1042"/>
    </row>
    <row r="2705" spans="25:50">
      <c r="Y2705" s="1042"/>
      <c r="Z2705" s="1042"/>
      <c r="AA2705" s="1042"/>
      <c r="AX2705" s="1042"/>
    </row>
    <row r="2706" spans="25:50">
      <c r="Y2706" s="1042"/>
      <c r="Z2706" s="1042"/>
      <c r="AA2706" s="1042"/>
      <c r="AX2706" s="1042"/>
    </row>
    <row r="2707" spans="25:50">
      <c r="Y2707" s="1042"/>
      <c r="Z2707" s="1042"/>
      <c r="AA2707" s="1042"/>
      <c r="AX2707" s="1042"/>
    </row>
    <row r="2708" spans="25:50">
      <c r="Y2708" s="1042"/>
      <c r="Z2708" s="1042"/>
      <c r="AA2708" s="1042"/>
      <c r="AX2708" s="1042"/>
    </row>
    <row r="2709" spans="25:50">
      <c r="Y2709" s="1042"/>
      <c r="Z2709" s="1042"/>
      <c r="AA2709" s="1042"/>
      <c r="AX2709" s="1042"/>
    </row>
    <row r="2710" spans="25:50">
      <c r="Y2710" s="1042"/>
      <c r="Z2710" s="1042"/>
      <c r="AA2710" s="1042"/>
      <c r="AX2710" s="1042"/>
    </row>
    <row r="2711" spans="25:50">
      <c r="Y2711" s="1042"/>
      <c r="Z2711" s="1042"/>
      <c r="AA2711" s="1042"/>
      <c r="AX2711" s="1042"/>
    </row>
    <row r="2712" spans="25:50">
      <c r="Y2712" s="1042"/>
      <c r="Z2712" s="1042"/>
      <c r="AA2712" s="1042"/>
      <c r="AX2712" s="1042"/>
    </row>
    <row r="2713" spans="25:50">
      <c r="Y2713" s="1042"/>
      <c r="Z2713" s="1042"/>
      <c r="AA2713" s="1042"/>
      <c r="AX2713" s="1042"/>
    </row>
    <row r="2714" spans="25:50">
      <c r="Y2714" s="1042"/>
      <c r="Z2714" s="1042"/>
      <c r="AA2714" s="1042"/>
      <c r="AX2714" s="1042"/>
    </row>
    <row r="2715" spans="25:50">
      <c r="Y2715" s="1042"/>
      <c r="Z2715" s="1042"/>
      <c r="AA2715" s="1042"/>
      <c r="AX2715" s="1042"/>
    </row>
    <row r="2716" spans="25:50">
      <c r="Y2716" s="1042"/>
      <c r="Z2716" s="1042"/>
      <c r="AA2716" s="1042"/>
      <c r="AX2716" s="1042"/>
    </row>
    <row r="2717" spans="25:50">
      <c r="Y2717" s="1042"/>
      <c r="Z2717" s="1042"/>
      <c r="AA2717" s="1042"/>
      <c r="AX2717" s="1042"/>
    </row>
    <row r="2718" spans="25:50">
      <c r="Y2718" s="1042"/>
      <c r="Z2718" s="1042"/>
      <c r="AA2718" s="1042"/>
      <c r="AX2718" s="1042"/>
    </row>
    <row r="2719" spans="25:50">
      <c r="Y2719" s="1042"/>
      <c r="Z2719" s="1042"/>
      <c r="AA2719" s="1042"/>
      <c r="AX2719" s="1042"/>
    </row>
    <row r="2720" spans="25:50">
      <c r="Y2720" s="1042"/>
      <c r="Z2720" s="1042"/>
      <c r="AA2720" s="1042"/>
      <c r="AX2720" s="1042"/>
    </row>
    <row r="2721" spans="25:50">
      <c r="Y2721" s="1042"/>
      <c r="Z2721" s="1042"/>
      <c r="AA2721" s="1042"/>
      <c r="AX2721" s="1042"/>
    </row>
    <row r="2722" spans="25:50">
      <c r="Y2722" s="1042"/>
      <c r="Z2722" s="1042"/>
      <c r="AA2722" s="1042"/>
      <c r="AX2722" s="1042"/>
    </row>
    <row r="2723" spans="25:50">
      <c r="Y2723" s="1042"/>
      <c r="Z2723" s="1042"/>
      <c r="AA2723" s="1042"/>
      <c r="AX2723" s="1042"/>
    </row>
    <row r="2724" spans="25:50">
      <c r="Y2724" s="1042"/>
      <c r="Z2724" s="1042"/>
      <c r="AA2724" s="1042"/>
      <c r="AX2724" s="1042"/>
    </row>
    <row r="2725" spans="25:50">
      <c r="Y2725" s="1042"/>
      <c r="Z2725" s="1042"/>
      <c r="AA2725" s="1042"/>
      <c r="AX2725" s="1042"/>
    </row>
    <row r="2726" spans="25:50">
      <c r="Y2726" s="1042"/>
      <c r="Z2726" s="1042"/>
      <c r="AA2726" s="1042"/>
      <c r="AX2726" s="1042"/>
    </row>
    <row r="2727" spans="25:50">
      <c r="Y2727" s="1042"/>
      <c r="Z2727" s="1042"/>
      <c r="AA2727" s="1042"/>
      <c r="AX2727" s="1042"/>
    </row>
    <row r="2728" spans="25:50">
      <c r="Y2728" s="1042"/>
      <c r="Z2728" s="1042"/>
      <c r="AA2728" s="1042"/>
      <c r="AX2728" s="1042"/>
    </row>
    <row r="2729" spans="25:50">
      <c r="Y2729" s="1042"/>
      <c r="Z2729" s="1042"/>
      <c r="AA2729" s="1042"/>
      <c r="AX2729" s="1042"/>
    </row>
    <row r="2730" spans="25:50">
      <c r="Y2730" s="1042"/>
      <c r="Z2730" s="1042"/>
      <c r="AA2730" s="1042"/>
      <c r="AX2730" s="1042"/>
    </row>
    <row r="2731" spans="25:50">
      <c r="Y2731" s="1042"/>
      <c r="Z2731" s="1042"/>
      <c r="AA2731" s="1042"/>
      <c r="AX2731" s="1042"/>
    </row>
    <row r="2732" spans="25:50">
      <c r="Y2732" s="1042"/>
      <c r="Z2732" s="1042"/>
      <c r="AA2732" s="1042"/>
      <c r="AX2732" s="1042"/>
    </row>
    <row r="2733" spans="25:50">
      <c r="Y2733" s="1042"/>
      <c r="Z2733" s="1042"/>
      <c r="AA2733" s="1042"/>
      <c r="AX2733" s="1042"/>
    </row>
    <row r="2734" spans="25:50">
      <c r="Y2734" s="1042"/>
      <c r="Z2734" s="1042"/>
      <c r="AA2734" s="1042"/>
      <c r="AX2734" s="1042"/>
    </row>
    <row r="2735" spans="25:50">
      <c r="Y2735" s="1042"/>
      <c r="Z2735" s="1042"/>
      <c r="AA2735" s="1042"/>
      <c r="AX2735" s="1042"/>
    </row>
    <row r="2736" spans="25:50">
      <c r="Y2736" s="1042"/>
      <c r="Z2736" s="1042"/>
      <c r="AA2736" s="1042"/>
      <c r="AX2736" s="1042"/>
    </row>
    <row r="2737" spans="25:50">
      <c r="Y2737" s="1042"/>
      <c r="Z2737" s="1042"/>
      <c r="AA2737" s="1042"/>
      <c r="AX2737" s="1042"/>
    </row>
    <row r="2738" spans="25:50">
      <c r="Y2738" s="1042"/>
      <c r="Z2738" s="1042"/>
      <c r="AA2738" s="1042"/>
      <c r="AX2738" s="1042"/>
    </row>
    <row r="2739" spans="25:50">
      <c r="Y2739" s="1042"/>
      <c r="Z2739" s="1042"/>
      <c r="AA2739" s="1042"/>
      <c r="AX2739" s="1042"/>
    </row>
    <row r="2740" spans="25:50">
      <c r="Y2740" s="1042"/>
      <c r="Z2740" s="1042"/>
      <c r="AA2740" s="1042"/>
      <c r="AX2740" s="1042"/>
    </row>
    <row r="2741" spans="25:50">
      <c r="Y2741" s="1042"/>
      <c r="Z2741" s="1042"/>
      <c r="AA2741" s="1042"/>
      <c r="AX2741" s="1042"/>
    </row>
    <row r="2742" spans="25:50">
      <c r="Y2742" s="1042"/>
      <c r="Z2742" s="1042"/>
      <c r="AA2742" s="1042"/>
      <c r="AX2742" s="1042"/>
    </row>
    <row r="2743" spans="25:50">
      <c r="Y2743" s="1042"/>
      <c r="Z2743" s="1042"/>
      <c r="AA2743" s="1042"/>
      <c r="AX2743" s="1042"/>
    </row>
    <row r="2744" spans="25:50">
      <c r="Y2744" s="1042"/>
      <c r="Z2744" s="1042"/>
      <c r="AA2744" s="1042"/>
      <c r="AX2744" s="1042"/>
    </row>
    <row r="2745" spans="25:50">
      <c r="Y2745" s="1042"/>
      <c r="Z2745" s="1042"/>
      <c r="AA2745" s="1042"/>
      <c r="AX2745" s="1042"/>
    </row>
    <row r="2746" spans="25:50">
      <c r="Y2746" s="1042"/>
      <c r="Z2746" s="1042"/>
      <c r="AA2746" s="1042"/>
      <c r="AX2746" s="1042"/>
    </row>
    <row r="2747" spans="25:50">
      <c r="Y2747" s="1042"/>
      <c r="Z2747" s="1042"/>
      <c r="AA2747" s="1042"/>
      <c r="AX2747" s="1042"/>
    </row>
    <row r="2748" spans="25:50">
      <c r="Y2748" s="1042"/>
      <c r="Z2748" s="1042"/>
      <c r="AA2748" s="1042"/>
      <c r="AX2748" s="1042"/>
    </row>
    <row r="2749" spans="25:50">
      <c r="Y2749" s="1042"/>
      <c r="Z2749" s="1042"/>
      <c r="AA2749" s="1042"/>
      <c r="AX2749" s="1042"/>
    </row>
    <row r="2750" spans="25:50">
      <c r="Y2750" s="1042"/>
      <c r="Z2750" s="1042"/>
      <c r="AA2750" s="1042"/>
      <c r="AX2750" s="1042"/>
    </row>
    <row r="2751" spans="25:50">
      <c r="Y2751" s="1042"/>
      <c r="Z2751" s="1042"/>
      <c r="AA2751" s="1042"/>
      <c r="AX2751" s="1042"/>
    </row>
    <row r="2752" spans="25:50">
      <c r="Y2752" s="1042"/>
      <c r="Z2752" s="1042"/>
      <c r="AA2752" s="1042"/>
      <c r="AX2752" s="1042"/>
    </row>
    <row r="2753" spans="25:50">
      <c r="Y2753" s="1042"/>
      <c r="Z2753" s="1042"/>
      <c r="AA2753" s="1042"/>
      <c r="AX2753" s="1042"/>
    </row>
    <row r="2754" spans="25:50">
      <c r="Y2754" s="1042"/>
      <c r="Z2754" s="1042"/>
      <c r="AA2754" s="1042"/>
      <c r="AX2754" s="1042"/>
    </row>
    <row r="2755" spans="25:50">
      <c r="Y2755" s="1042"/>
      <c r="Z2755" s="1042"/>
      <c r="AA2755" s="1042"/>
      <c r="AX2755" s="1042"/>
    </row>
    <row r="2756" spans="25:50">
      <c r="Y2756" s="1042"/>
      <c r="Z2756" s="1042"/>
      <c r="AA2756" s="1042"/>
      <c r="AX2756" s="1042"/>
    </row>
    <row r="2757" spans="25:50">
      <c r="Y2757" s="1042"/>
      <c r="Z2757" s="1042"/>
      <c r="AA2757" s="1042"/>
      <c r="AX2757" s="1042"/>
    </row>
    <row r="2758" spans="25:50">
      <c r="Y2758" s="1042"/>
      <c r="Z2758" s="1042"/>
      <c r="AA2758" s="1042"/>
      <c r="AX2758" s="1042"/>
    </row>
    <row r="2759" spans="25:50">
      <c r="Y2759" s="1042"/>
      <c r="Z2759" s="1042"/>
      <c r="AA2759" s="1042"/>
      <c r="AX2759" s="1042"/>
    </row>
    <row r="2760" spans="25:50">
      <c r="Y2760" s="1042"/>
      <c r="Z2760" s="1042"/>
      <c r="AA2760" s="1042"/>
      <c r="AX2760" s="1042"/>
    </row>
    <row r="2761" spans="25:50">
      <c r="Y2761" s="1042"/>
      <c r="Z2761" s="1042"/>
      <c r="AA2761" s="1042"/>
      <c r="AX2761" s="1042"/>
    </row>
    <row r="2762" spans="25:50">
      <c r="Y2762" s="1042"/>
      <c r="Z2762" s="1042"/>
      <c r="AA2762" s="1042"/>
      <c r="AX2762" s="1042"/>
    </row>
    <row r="2763" spans="25:50">
      <c r="Y2763" s="1042"/>
      <c r="Z2763" s="1042"/>
      <c r="AA2763" s="1042"/>
      <c r="AX2763" s="1042"/>
    </row>
    <row r="2764" spans="25:50">
      <c r="Y2764" s="1042"/>
      <c r="Z2764" s="1042"/>
      <c r="AA2764" s="1042"/>
      <c r="AX2764" s="1042"/>
    </row>
    <row r="2765" spans="25:50">
      <c r="Y2765" s="1042"/>
      <c r="Z2765" s="1042"/>
      <c r="AA2765" s="1042"/>
      <c r="AX2765" s="1042"/>
    </row>
    <row r="2766" spans="25:50">
      <c r="Y2766" s="1042"/>
      <c r="Z2766" s="1042"/>
      <c r="AA2766" s="1042"/>
      <c r="AX2766" s="1042"/>
    </row>
    <row r="2767" spans="25:50">
      <c r="Y2767" s="1042"/>
      <c r="Z2767" s="1042"/>
      <c r="AA2767" s="1042"/>
      <c r="AX2767" s="1042"/>
    </row>
    <row r="2768" spans="25:50">
      <c r="Y2768" s="1042"/>
      <c r="Z2768" s="1042"/>
      <c r="AA2768" s="1042"/>
      <c r="AX2768" s="1042"/>
    </row>
    <row r="2769" spans="25:50">
      <c r="Y2769" s="1042"/>
      <c r="Z2769" s="1042"/>
      <c r="AA2769" s="1042"/>
      <c r="AX2769" s="1042"/>
    </row>
    <row r="2770" spans="25:50">
      <c r="Y2770" s="1042"/>
      <c r="Z2770" s="1042"/>
      <c r="AA2770" s="1042"/>
      <c r="AX2770" s="1042"/>
    </row>
    <row r="2771" spans="25:50">
      <c r="Y2771" s="1042"/>
      <c r="Z2771" s="1042"/>
      <c r="AA2771" s="1042"/>
      <c r="AX2771" s="1042"/>
    </row>
    <row r="2772" spans="25:50">
      <c r="Y2772" s="1042"/>
      <c r="Z2772" s="1042"/>
      <c r="AA2772" s="1042"/>
      <c r="AX2772" s="1042"/>
    </row>
    <row r="2773" spans="25:50">
      <c r="Y2773" s="1042"/>
      <c r="Z2773" s="1042"/>
      <c r="AA2773" s="1042"/>
      <c r="AX2773" s="1042"/>
    </row>
    <row r="2774" spans="25:50">
      <c r="Y2774" s="1042"/>
      <c r="Z2774" s="1042"/>
      <c r="AA2774" s="1042"/>
      <c r="AX2774" s="1042"/>
    </row>
    <row r="2775" spans="25:50">
      <c r="Y2775" s="1042"/>
      <c r="Z2775" s="1042"/>
      <c r="AA2775" s="1042"/>
      <c r="AX2775" s="1042"/>
    </row>
    <row r="2776" spans="25:50">
      <c r="Y2776" s="1042"/>
      <c r="Z2776" s="1042"/>
      <c r="AA2776" s="1042"/>
      <c r="AX2776" s="1042"/>
    </row>
    <row r="2777" spans="25:50">
      <c r="Y2777" s="1042"/>
      <c r="Z2777" s="1042"/>
      <c r="AA2777" s="1042"/>
      <c r="AX2777" s="1042"/>
    </row>
    <row r="2778" spans="25:50">
      <c r="Y2778" s="1042"/>
      <c r="Z2778" s="1042"/>
      <c r="AA2778" s="1042"/>
      <c r="AX2778" s="1042"/>
    </row>
    <row r="2779" spans="25:50">
      <c r="Y2779" s="1042"/>
      <c r="Z2779" s="1042"/>
      <c r="AA2779" s="1042"/>
      <c r="AX2779" s="1042"/>
    </row>
    <row r="2780" spans="25:50">
      <c r="Y2780" s="1042"/>
      <c r="Z2780" s="1042"/>
      <c r="AA2780" s="1042"/>
      <c r="AX2780" s="1042"/>
    </row>
    <row r="2781" spans="25:50">
      <c r="Y2781" s="1042"/>
      <c r="Z2781" s="1042"/>
      <c r="AA2781" s="1042"/>
      <c r="AX2781" s="1042"/>
    </row>
    <row r="2782" spans="25:50">
      <c r="Y2782" s="1042"/>
      <c r="Z2782" s="1042"/>
      <c r="AA2782" s="1042"/>
      <c r="AX2782" s="1042"/>
    </row>
    <row r="2783" spans="25:50">
      <c r="Y2783" s="1042"/>
      <c r="Z2783" s="1042"/>
      <c r="AA2783" s="1042"/>
      <c r="AX2783" s="1042"/>
    </row>
    <row r="2784" spans="25:50">
      <c r="Y2784" s="1042"/>
      <c r="Z2784" s="1042"/>
      <c r="AA2784" s="1042"/>
      <c r="AX2784" s="1042"/>
    </row>
    <row r="2785" spans="25:50">
      <c r="Y2785" s="1042"/>
      <c r="Z2785" s="1042"/>
      <c r="AA2785" s="1042"/>
      <c r="AX2785" s="1042"/>
    </row>
    <row r="2786" spans="25:50">
      <c r="Y2786" s="1042"/>
      <c r="Z2786" s="1042"/>
      <c r="AA2786" s="1042"/>
      <c r="AX2786" s="1042"/>
    </row>
    <row r="2787" spans="25:50">
      <c r="Y2787" s="1042"/>
      <c r="Z2787" s="1042"/>
      <c r="AA2787" s="1042"/>
      <c r="AX2787" s="1042"/>
    </row>
    <row r="2788" spans="25:50">
      <c r="Y2788" s="1042"/>
      <c r="Z2788" s="1042"/>
      <c r="AA2788" s="1042"/>
      <c r="AX2788" s="1042"/>
    </row>
    <row r="2789" spans="25:50">
      <c r="Y2789" s="1042"/>
      <c r="Z2789" s="1042"/>
      <c r="AA2789" s="1042"/>
      <c r="AX2789" s="1042"/>
    </row>
    <row r="2790" spans="25:50">
      <c r="Y2790" s="1042"/>
      <c r="Z2790" s="1042"/>
      <c r="AA2790" s="1042"/>
      <c r="AX2790" s="1042"/>
    </row>
    <row r="2791" spans="25:50">
      <c r="Y2791" s="1042"/>
      <c r="Z2791" s="1042"/>
      <c r="AA2791" s="1042"/>
      <c r="AX2791" s="1042"/>
    </row>
    <row r="2792" spans="25:50">
      <c r="Y2792" s="1042"/>
      <c r="Z2792" s="1042"/>
      <c r="AA2792" s="1042"/>
      <c r="AX2792" s="1042"/>
    </row>
    <row r="2793" spans="25:50">
      <c r="Y2793" s="1042"/>
      <c r="Z2793" s="1042"/>
      <c r="AA2793" s="1042"/>
      <c r="AX2793" s="1042"/>
    </row>
    <row r="2794" spans="25:50">
      <c r="Y2794" s="1042"/>
      <c r="Z2794" s="1042"/>
      <c r="AA2794" s="1042"/>
      <c r="AX2794" s="1042"/>
    </row>
    <row r="2795" spans="25:50">
      <c r="Y2795" s="1042"/>
      <c r="Z2795" s="1042"/>
      <c r="AA2795" s="1042"/>
      <c r="AX2795" s="1042"/>
    </row>
    <row r="2796" spans="25:50">
      <c r="Y2796" s="1042"/>
      <c r="Z2796" s="1042"/>
      <c r="AA2796" s="1042"/>
      <c r="AX2796" s="1042"/>
    </row>
    <row r="2797" spans="25:50">
      <c r="Y2797" s="1042"/>
      <c r="Z2797" s="1042"/>
      <c r="AA2797" s="1042"/>
      <c r="AX2797" s="1042"/>
    </row>
    <row r="2798" spans="25:50">
      <c r="Y2798" s="1042"/>
      <c r="Z2798" s="1042"/>
      <c r="AA2798" s="1042"/>
      <c r="AX2798" s="1042"/>
    </row>
    <row r="2799" spans="25:50">
      <c r="Y2799" s="1042"/>
      <c r="Z2799" s="1042"/>
      <c r="AA2799" s="1042"/>
      <c r="AX2799" s="1042"/>
    </row>
    <row r="2800" spans="25:50">
      <c r="Y2800" s="1042"/>
      <c r="Z2800" s="1042"/>
      <c r="AA2800" s="1042"/>
      <c r="AX2800" s="1042"/>
    </row>
    <row r="2801" spans="25:50">
      <c r="Y2801" s="1042"/>
      <c r="Z2801" s="1042"/>
      <c r="AA2801" s="1042"/>
      <c r="AX2801" s="1042"/>
    </row>
    <row r="2802" spans="25:50">
      <c r="Y2802" s="1042"/>
      <c r="Z2802" s="1042"/>
      <c r="AA2802" s="1042"/>
      <c r="AX2802" s="1042"/>
    </row>
    <row r="2803" spans="25:50">
      <c r="Y2803" s="1042"/>
      <c r="Z2803" s="1042"/>
      <c r="AA2803" s="1042"/>
      <c r="AX2803" s="1042"/>
    </row>
    <row r="2804" spans="25:50">
      <c r="Y2804" s="1042"/>
      <c r="Z2804" s="1042"/>
      <c r="AA2804" s="1042"/>
      <c r="AX2804" s="1042"/>
    </row>
    <row r="2805" spans="25:50">
      <c r="Y2805" s="1042"/>
      <c r="Z2805" s="1042"/>
      <c r="AA2805" s="1042"/>
      <c r="AX2805" s="1042"/>
    </row>
    <row r="2806" spans="25:50">
      <c r="Y2806" s="1042"/>
      <c r="Z2806" s="1042"/>
      <c r="AA2806" s="1042"/>
      <c r="AX2806" s="1042"/>
    </row>
    <row r="2807" spans="25:50">
      <c r="Y2807" s="1042"/>
      <c r="Z2807" s="1042"/>
      <c r="AA2807" s="1042"/>
      <c r="AX2807" s="1042"/>
    </row>
    <row r="2808" spans="25:50">
      <c r="Y2808" s="1042"/>
      <c r="Z2808" s="1042"/>
      <c r="AA2808" s="1042"/>
      <c r="AX2808" s="1042"/>
    </row>
    <row r="2809" spans="25:50">
      <c r="Y2809" s="1042"/>
      <c r="Z2809" s="1042"/>
      <c r="AA2809" s="1042"/>
      <c r="AX2809" s="1042"/>
    </row>
    <row r="2810" spans="25:50">
      <c r="Y2810" s="1042"/>
      <c r="Z2810" s="1042"/>
      <c r="AA2810" s="1042"/>
      <c r="AX2810" s="1042"/>
    </row>
    <row r="2811" spans="25:50">
      <c r="Y2811" s="1042"/>
      <c r="Z2811" s="1042"/>
      <c r="AA2811" s="1042"/>
      <c r="AX2811" s="1042"/>
    </row>
    <row r="2812" spans="25:50">
      <c r="Y2812" s="1042"/>
      <c r="Z2812" s="1042"/>
      <c r="AA2812" s="1042"/>
      <c r="AX2812" s="1042"/>
    </row>
    <row r="2813" spans="25:50">
      <c r="Y2813" s="1042"/>
      <c r="Z2813" s="1042"/>
      <c r="AA2813" s="1042"/>
      <c r="AX2813" s="1042"/>
    </row>
    <row r="2814" spans="25:50">
      <c r="Y2814" s="1042"/>
      <c r="Z2814" s="1042"/>
      <c r="AA2814" s="1042"/>
      <c r="AX2814" s="1042"/>
    </row>
    <row r="2815" spans="25:50">
      <c r="Y2815" s="1042"/>
      <c r="Z2815" s="1042"/>
      <c r="AA2815" s="1042"/>
      <c r="AX2815" s="1042"/>
    </row>
    <row r="2816" spans="25:50">
      <c r="Y2816" s="1042"/>
      <c r="Z2816" s="1042"/>
      <c r="AA2816" s="1042"/>
      <c r="AX2816" s="1042"/>
    </row>
    <row r="2817" spans="25:50">
      <c r="Y2817" s="1042"/>
      <c r="Z2817" s="1042"/>
      <c r="AA2817" s="1042"/>
      <c r="AX2817" s="1042"/>
    </row>
    <row r="2818" spans="25:50">
      <c r="Y2818" s="1042"/>
      <c r="Z2818" s="1042"/>
      <c r="AA2818" s="1042"/>
      <c r="AX2818" s="1042"/>
    </row>
    <row r="2819" spans="25:50">
      <c r="Y2819" s="1042"/>
      <c r="Z2819" s="1042"/>
      <c r="AA2819" s="1042"/>
      <c r="AX2819" s="1042"/>
    </row>
    <row r="2820" spans="25:50">
      <c r="Y2820" s="1042"/>
      <c r="Z2820" s="1042"/>
      <c r="AA2820" s="1042"/>
      <c r="AX2820" s="1042"/>
    </row>
    <row r="2821" spans="25:50">
      <c r="Y2821" s="1042"/>
      <c r="Z2821" s="1042"/>
      <c r="AA2821" s="1042"/>
      <c r="AX2821" s="1042"/>
    </row>
    <row r="2822" spans="25:50">
      <c r="Y2822" s="1042"/>
      <c r="Z2822" s="1042"/>
      <c r="AA2822" s="1042"/>
      <c r="AX2822" s="1042"/>
    </row>
    <row r="2823" spans="25:50">
      <c r="Y2823" s="1042"/>
      <c r="Z2823" s="1042"/>
      <c r="AA2823" s="1042"/>
      <c r="AX2823" s="1042"/>
    </row>
    <row r="2824" spans="25:50">
      <c r="Y2824" s="1042"/>
      <c r="Z2824" s="1042"/>
      <c r="AA2824" s="1042"/>
      <c r="AX2824" s="1042"/>
    </row>
    <row r="2825" spans="25:50">
      <c r="Y2825" s="1042"/>
      <c r="Z2825" s="1042"/>
      <c r="AA2825" s="1042"/>
      <c r="AX2825" s="1042"/>
    </row>
    <row r="2826" spans="25:50">
      <c r="Y2826" s="1042"/>
      <c r="Z2826" s="1042"/>
      <c r="AA2826" s="1042"/>
      <c r="AX2826" s="1042"/>
    </row>
    <row r="2827" spans="25:50">
      <c r="Y2827" s="1042"/>
      <c r="Z2827" s="1042"/>
      <c r="AA2827" s="1042"/>
      <c r="AX2827" s="1042"/>
    </row>
    <row r="2828" spans="25:50">
      <c r="Y2828" s="1042"/>
      <c r="Z2828" s="1042"/>
      <c r="AA2828" s="1042"/>
      <c r="AX2828" s="1042"/>
    </row>
    <row r="2829" spans="25:50">
      <c r="Y2829" s="1042"/>
      <c r="Z2829" s="1042"/>
      <c r="AA2829" s="1042"/>
      <c r="AX2829" s="1042"/>
    </row>
    <row r="2830" spans="25:50">
      <c r="Y2830" s="1042"/>
      <c r="Z2830" s="1042"/>
      <c r="AA2830" s="1042"/>
      <c r="AX2830" s="1042"/>
    </row>
    <row r="2831" spans="25:50">
      <c r="Y2831" s="1042"/>
      <c r="Z2831" s="1042"/>
      <c r="AA2831" s="1042"/>
      <c r="AX2831" s="1042"/>
    </row>
    <row r="2832" spans="25:50">
      <c r="Y2832" s="1042"/>
      <c r="Z2832" s="1042"/>
      <c r="AA2832" s="1042"/>
      <c r="AX2832" s="1042"/>
    </row>
    <row r="2833" spans="25:50">
      <c r="Y2833" s="1042"/>
      <c r="Z2833" s="1042"/>
      <c r="AA2833" s="1042"/>
      <c r="AX2833" s="1042"/>
    </row>
    <row r="2834" spans="25:50">
      <c r="Y2834" s="1042"/>
      <c r="Z2834" s="1042"/>
      <c r="AA2834" s="1042"/>
      <c r="AX2834" s="1042"/>
    </row>
    <row r="2835" spans="25:50">
      <c r="Y2835" s="1042"/>
      <c r="Z2835" s="1042"/>
      <c r="AA2835" s="1042"/>
      <c r="AX2835" s="1042"/>
    </row>
    <row r="2836" spans="25:50">
      <c r="Y2836" s="1042"/>
      <c r="Z2836" s="1042"/>
      <c r="AA2836" s="1042"/>
      <c r="AX2836" s="1042"/>
    </row>
    <row r="2837" spans="25:50">
      <c r="Y2837" s="1042"/>
      <c r="Z2837" s="1042"/>
      <c r="AA2837" s="1042"/>
      <c r="AX2837" s="1042"/>
    </row>
    <row r="2838" spans="25:50">
      <c r="Y2838" s="1042"/>
      <c r="Z2838" s="1042"/>
      <c r="AA2838" s="1042"/>
      <c r="AX2838" s="1042"/>
    </row>
    <row r="2839" spans="25:50">
      <c r="Y2839" s="1042"/>
      <c r="Z2839" s="1042"/>
      <c r="AA2839" s="1042"/>
      <c r="AX2839" s="1042"/>
    </row>
    <row r="2840" spans="25:50">
      <c r="Y2840" s="1042"/>
      <c r="Z2840" s="1042"/>
      <c r="AA2840" s="1042"/>
      <c r="AX2840" s="1042"/>
    </row>
    <row r="2841" spans="25:50">
      <c r="Y2841" s="1042"/>
      <c r="Z2841" s="1042"/>
      <c r="AA2841" s="1042"/>
      <c r="AX2841" s="1042"/>
    </row>
    <row r="2842" spans="25:50">
      <c r="Y2842" s="1042"/>
      <c r="Z2842" s="1042"/>
      <c r="AA2842" s="1042"/>
      <c r="AX2842" s="1042"/>
    </row>
    <row r="2843" spans="25:50">
      <c r="Y2843" s="1042"/>
      <c r="Z2843" s="1042"/>
      <c r="AA2843" s="1042"/>
      <c r="AX2843" s="1042"/>
    </row>
    <row r="2844" spans="25:50">
      <c r="Y2844" s="1042"/>
      <c r="Z2844" s="1042"/>
      <c r="AA2844" s="1042"/>
      <c r="AX2844" s="1042"/>
    </row>
    <row r="2845" spans="25:50">
      <c r="Y2845" s="1042"/>
      <c r="Z2845" s="1042"/>
      <c r="AA2845" s="1042"/>
      <c r="AX2845" s="1042"/>
    </row>
    <row r="2846" spans="25:50">
      <c r="Y2846" s="1042"/>
      <c r="Z2846" s="1042"/>
      <c r="AA2846" s="1042"/>
      <c r="AX2846" s="1042"/>
    </row>
    <row r="2847" spans="25:50">
      <c r="Y2847" s="1042"/>
      <c r="Z2847" s="1042"/>
      <c r="AA2847" s="1042"/>
      <c r="AX2847" s="1042"/>
    </row>
    <row r="2848" spans="25:50">
      <c r="Y2848" s="1042"/>
      <c r="Z2848" s="1042"/>
      <c r="AA2848" s="1042"/>
      <c r="AX2848" s="1042"/>
    </row>
    <row r="2849" spans="25:50">
      <c r="Y2849" s="1042"/>
      <c r="Z2849" s="1042"/>
      <c r="AA2849" s="1042"/>
      <c r="AX2849" s="1042"/>
    </row>
    <row r="2850" spans="25:50">
      <c r="Y2850" s="1042"/>
      <c r="Z2850" s="1042"/>
      <c r="AA2850" s="1042"/>
      <c r="AX2850" s="1042"/>
    </row>
    <row r="2851" spans="25:50">
      <c r="Y2851" s="1042"/>
      <c r="Z2851" s="1042"/>
      <c r="AA2851" s="1042"/>
      <c r="AX2851" s="1042"/>
    </row>
    <row r="2852" spans="25:50">
      <c r="Y2852" s="1042"/>
      <c r="Z2852" s="1042"/>
      <c r="AA2852" s="1042"/>
      <c r="AX2852" s="1042"/>
    </row>
    <row r="2853" spans="25:50">
      <c r="Y2853" s="1042"/>
      <c r="Z2853" s="1042"/>
      <c r="AA2853" s="1042"/>
      <c r="AX2853" s="1042"/>
    </row>
    <row r="2854" spans="25:50">
      <c r="Y2854" s="1042"/>
      <c r="Z2854" s="1042"/>
      <c r="AA2854" s="1042"/>
      <c r="AX2854" s="1042"/>
    </row>
    <row r="2855" spans="25:50">
      <c r="Y2855" s="1042"/>
      <c r="Z2855" s="1042"/>
      <c r="AA2855" s="1042"/>
      <c r="AX2855" s="1042"/>
    </row>
    <row r="2856" spans="25:50">
      <c r="Y2856" s="1042"/>
      <c r="Z2856" s="1042"/>
      <c r="AA2856" s="1042"/>
      <c r="AX2856" s="1042"/>
    </row>
    <row r="2857" spans="25:50">
      <c r="Y2857" s="1042"/>
      <c r="Z2857" s="1042"/>
      <c r="AA2857" s="1042"/>
      <c r="AX2857" s="1042"/>
    </row>
    <row r="2858" spans="25:50">
      <c r="Y2858" s="1042"/>
      <c r="Z2858" s="1042"/>
      <c r="AA2858" s="1042"/>
      <c r="AX2858" s="1042"/>
    </row>
    <row r="2859" spans="25:50">
      <c r="Y2859" s="1042"/>
      <c r="Z2859" s="1042"/>
      <c r="AA2859" s="1042"/>
      <c r="AX2859" s="1042"/>
    </row>
    <row r="2860" spans="25:50">
      <c r="Y2860" s="1042"/>
      <c r="Z2860" s="1042"/>
      <c r="AA2860" s="1042"/>
      <c r="AX2860" s="1042"/>
    </row>
    <row r="2861" spans="25:50">
      <c r="Y2861" s="1042"/>
      <c r="Z2861" s="1042"/>
      <c r="AA2861" s="1042"/>
      <c r="AX2861" s="1042"/>
    </row>
    <row r="2862" spans="25:50">
      <c r="Y2862" s="1042"/>
      <c r="Z2862" s="1042"/>
      <c r="AA2862" s="1042"/>
      <c r="AX2862" s="1042"/>
    </row>
    <row r="2863" spans="25:50">
      <c r="Y2863" s="1042"/>
      <c r="Z2863" s="1042"/>
      <c r="AA2863" s="1042"/>
      <c r="AX2863" s="1042"/>
    </row>
    <row r="2864" spans="25:50">
      <c r="Y2864" s="1042"/>
      <c r="Z2864" s="1042"/>
      <c r="AA2864" s="1042"/>
      <c r="AX2864" s="1042"/>
    </row>
    <row r="2865" spans="25:50">
      <c r="Y2865" s="1042"/>
      <c r="Z2865" s="1042"/>
      <c r="AA2865" s="1042"/>
      <c r="AX2865" s="1042"/>
    </row>
    <row r="2866" spans="25:50">
      <c r="Y2866" s="1042"/>
      <c r="Z2866" s="1042"/>
      <c r="AA2866" s="1042"/>
      <c r="AX2866" s="1042"/>
    </row>
    <row r="2867" spans="25:50">
      <c r="Y2867" s="1042"/>
      <c r="Z2867" s="1042"/>
      <c r="AA2867" s="1042"/>
      <c r="AX2867" s="1042"/>
    </row>
    <row r="2868" spans="25:50">
      <c r="Y2868" s="1042"/>
      <c r="Z2868" s="1042"/>
      <c r="AA2868" s="1042"/>
      <c r="AX2868" s="1042"/>
    </row>
    <row r="2869" spans="25:50">
      <c r="Y2869" s="1042"/>
      <c r="Z2869" s="1042"/>
      <c r="AA2869" s="1042"/>
      <c r="AX2869" s="1042"/>
    </row>
    <row r="2870" spans="25:50">
      <c r="Y2870" s="1042"/>
      <c r="Z2870" s="1042"/>
      <c r="AA2870" s="1042"/>
      <c r="AX2870" s="1042"/>
    </row>
    <row r="2871" spans="25:50">
      <c r="Y2871" s="1042"/>
      <c r="Z2871" s="1042"/>
      <c r="AA2871" s="1042"/>
      <c r="AX2871" s="1042"/>
    </row>
    <row r="2872" spans="25:50">
      <c r="Y2872" s="1042"/>
      <c r="Z2872" s="1042"/>
      <c r="AA2872" s="1042"/>
      <c r="AX2872" s="1042"/>
    </row>
    <row r="2873" spans="25:50">
      <c r="Y2873" s="1042"/>
      <c r="Z2873" s="1042"/>
      <c r="AA2873" s="1042"/>
      <c r="AX2873" s="1042"/>
    </row>
    <row r="2874" spans="25:50">
      <c r="Y2874" s="1042"/>
      <c r="Z2874" s="1042"/>
      <c r="AA2874" s="1042"/>
      <c r="AX2874" s="1042"/>
    </row>
    <row r="2875" spans="25:50">
      <c r="Y2875" s="1042"/>
      <c r="Z2875" s="1042"/>
      <c r="AA2875" s="1042"/>
      <c r="AX2875" s="1042"/>
    </row>
    <row r="2876" spans="25:50">
      <c r="Y2876" s="1042"/>
      <c r="Z2876" s="1042"/>
      <c r="AA2876" s="1042"/>
      <c r="AX2876" s="1042"/>
    </row>
    <row r="2877" spans="25:50">
      <c r="Y2877" s="1042"/>
      <c r="Z2877" s="1042"/>
      <c r="AA2877" s="1042"/>
      <c r="AX2877" s="1042"/>
    </row>
    <row r="2878" spans="25:50">
      <c r="Y2878" s="1042"/>
      <c r="Z2878" s="1042"/>
      <c r="AA2878" s="1042"/>
      <c r="AX2878" s="1042"/>
    </row>
    <row r="2879" spans="25:50">
      <c r="Y2879" s="1042"/>
      <c r="Z2879" s="1042"/>
      <c r="AA2879" s="1042"/>
      <c r="AX2879" s="1042"/>
    </row>
    <row r="2880" spans="25:50">
      <c r="Y2880" s="1042"/>
      <c r="Z2880" s="1042"/>
      <c r="AA2880" s="1042"/>
      <c r="AX2880" s="1042"/>
    </row>
    <row r="2881" spans="25:50">
      <c r="Y2881" s="1042"/>
      <c r="Z2881" s="1042"/>
      <c r="AA2881" s="1042"/>
      <c r="AX2881" s="1042"/>
    </row>
    <row r="2882" spans="25:50">
      <c r="Y2882" s="1042"/>
      <c r="Z2882" s="1042"/>
      <c r="AA2882" s="1042"/>
      <c r="AX2882" s="1042"/>
    </row>
    <row r="2883" spans="25:50">
      <c r="Y2883" s="1042"/>
      <c r="Z2883" s="1042"/>
      <c r="AA2883" s="1042"/>
      <c r="AX2883" s="1042"/>
    </row>
    <row r="2884" spans="25:50">
      <c r="Y2884" s="1042"/>
      <c r="Z2884" s="1042"/>
      <c r="AA2884" s="1042"/>
      <c r="AX2884" s="1042"/>
    </row>
    <row r="2885" spans="25:50">
      <c r="Y2885" s="1042"/>
      <c r="Z2885" s="1042"/>
      <c r="AA2885" s="1042"/>
      <c r="AX2885" s="1042"/>
    </row>
    <row r="2886" spans="25:50">
      <c r="Y2886" s="1042"/>
      <c r="Z2886" s="1042"/>
      <c r="AA2886" s="1042"/>
      <c r="AX2886" s="1042"/>
    </row>
    <row r="2887" spans="25:50">
      <c r="Y2887" s="1042"/>
      <c r="Z2887" s="1042"/>
      <c r="AA2887" s="1042"/>
      <c r="AX2887" s="1042"/>
    </row>
    <row r="2888" spans="25:50">
      <c r="Y2888" s="1042"/>
      <c r="Z2888" s="1042"/>
      <c r="AA2888" s="1042"/>
      <c r="AX2888" s="1042"/>
    </row>
    <row r="2889" spans="25:50">
      <c r="Y2889" s="1042"/>
      <c r="Z2889" s="1042"/>
      <c r="AA2889" s="1042"/>
      <c r="AX2889" s="1042"/>
    </row>
    <row r="2890" spans="25:50">
      <c r="Y2890" s="1042"/>
      <c r="Z2890" s="1042"/>
      <c r="AA2890" s="1042"/>
      <c r="AX2890" s="1042"/>
    </row>
    <row r="2891" spans="25:50">
      <c r="Y2891" s="1042"/>
      <c r="Z2891" s="1042"/>
      <c r="AA2891" s="1042"/>
      <c r="AX2891" s="1042"/>
    </row>
    <row r="2892" spans="25:50">
      <c r="Y2892" s="1042"/>
      <c r="Z2892" s="1042"/>
      <c r="AA2892" s="1042"/>
      <c r="AX2892" s="1042"/>
    </row>
    <row r="2893" spans="25:50">
      <c r="Y2893" s="1042"/>
      <c r="Z2893" s="1042"/>
      <c r="AA2893" s="1042"/>
      <c r="AX2893" s="1042"/>
    </row>
    <row r="2894" spans="25:50">
      <c r="Y2894" s="1042"/>
      <c r="Z2894" s="1042"/>
      <c r="AA2894" s="1042"/>
      <c r="AX2894" s="1042"/>
    </row>
    <row r="2895" spans="25:50">
      <c r="Y2895" s="1042"/>
      <c r="Z2895" s="1042"/>
      <c r="AA2895" s="1042"/>
      <c r="AX2895" s="1042"/>
    </row>
    <row r="2896" spans="25:50">
      <c r="Y2896" s="1042"/>
      <c r="Z2896" s="1042"/>
      <c r="AA2896" s="1042"/>
      <c r="AX2896" s="1042"/>
    </row>
    <row r="2897" spans="25:50">
      <c r="Y2897" s="1042"/>
      <c r="Z2897" s="1042"/>
      <c r="AA2897" s="1042"/>
      <c r="AX2897" s="1042"/>
    </row>
    <row r="2898" spans="25:50">
      <c r="Y2898" s="1042"/>
      <c r="Z2898" s="1042"/>
      <c r="AA2898" s="1042"/>
      <c r="AX2898" s="1042"/>
    </row>
    <row r="2899" spans="25:50">
      <c r="Y2899" s="1042"/>
      <c r="Z2899" s="1042"/>
      <c r="AA2899" s="1042"/>
      <c r="AX2899" s="1042"/>
    </row>
    <row r="2900" spans="25:50">
      <c r="Y2900" s="1042"/>
      <c r="Z2900" s="1042"/>
      <c r="AA2900" s="1042"/>
      <c r="AX2900" s="1042"/>
    </row>
    <row r="2901" spans="25:50">
      <c r="Y2901" s="1042"/>
      <c r="Z2901" s="1042"/>
      <c r="AA2901" s="1042"/>
      <c r="AX2901" s="1042"/>
    </row>
    <row r="2902" spans="25:50">
      <c r="Y2902" s="1042"/>
      <c r="Z2902" s="1042"/>
      <c r="AA2902" s="1042"/>
      <c r="AX2902" s="1042"/>
    </row>
    <row r="2903" spans="25:50">
      <c r="Y2903" s="1042"/>
      <c r="Z2903" s="1042"/>
      <c r="AA2903" s="1042"/>
      <c r="AX2903" s="1042"/>
    </row>
    <row r="2904" spans="25:50">
      <c r="Y2904" s="1042"/>
      <c r="Z2904" s="1042"/>
      <c r="AA2904" s="1042"/>
      <c r="AX2904" s="1042"/>
    </row>
    <row r="2905" spans="25:50">
      <c r="Y2905" s="1042"/>
      <c r="Z2905" s="1042"/>
      <c r="AA2905" s="1042"/>
      <c r="AX2905" s="1042"/>
    </row>
    <row r="2906" spans="25:50">
      <c r="Y2906" s="1042"/>
      <c r="Z2906" s="1042"/>
      <c r="AA2906" s="1042"/>
      <c r="AX2906" s="1042"/>
    </row>
    <row r="2907" spans="25:50">
      <c r="Y2907" s="1042"/>
      <c r="Z2907" s="1042"/>
      <c r="AA2907" s="1042"/>
      <c r="AX2907" s="1042"/>
    </row>
    <row r="2908" spans="25:50">
      <c r="Y2908" s="1042"/>
      <c r="Z2908" s="1042"/>
      <c r="AA2908" s="1042"/>
      <c r="AX2908" s="1042"/>
    </row>
    <row r="2909" spans="25:50">
      <c r="Y2909" s="1042"/>
      <c r="Z2909" s="1042"/>
      <c r="AA2909" s="1042"/>
      <c r="AX2909" s="1042"/>
    </row>
    <row r="2910" spans="25:50">
      <c r="Y2910" s="1042"/>
      <c r="Z2910" s="1042"/>
      <c r="AA2910" s="1042"/>
      <c r="AX2910" s="1042"/>
    </row>
    <row r="2911" spans="25:50">
      <c r="Y2911" s="1042"/>
      <c r="Z2911" s="1042"/>
      <c r="AA2911" s="1042"/>
      <c r="AX2911" s="1042"/>
    </row>
    <row r="2912" spans="25:50">
      <c r="Y2912" s="1042"/>
      <c r="Z2912" s="1042"/>
      <c r="AA2912" s="1042"/>
      <c r="AX2912" s="1042"/>
    </row>
    <row r="2913" spans="25:50">
      <c r="Y2913" s="1042"/>
      <c r="Z2913" s="1042"/>
      <c r="AA2913" s="1042"/>
      <c r="AX2913" s="1042"/>
    </row>
    <row r="2914" spans="25:50">
      <c r="Y2914" s="1042"/>
      <c r="Z2914" s="1042"/>
      <c r="AA2914" s="1042"/>
      <c r="AX2914" s="1042"/>
    </row>
    <row r="2915" spans="25:50">
      <c r="Y2915" s="1042"/>
      <c r="Z2915" s="1042"/>
      <c r="AA2915" s="1042"/>
      <c r="AX2915" s="1042"/>
    </row>
    <row r="2916" spans="25:50">
      <c r="Y2916" s="1042"/>
      <c r="Z2916" s="1042"/>
      <c r="AA2916" s="1042"/>
      <c r="AX2916" s="1042"/>
    </row>
    <row r="2917" spans="25:50">
      <c r="Y2917" s="1042"/>
      <c r="Z2917" s="1042"/>
      <c r="AA2917" s="1042"/>
      <c r="AX2917" s="1042"/>
    </row>
    <row r="2918" spans="25:50">
      <c r="Y2918" s="1042"/>
      <c r="Z2918" s="1042"/>
      <c r="AA2918" s="1042"/>
      <c r="AX2918" s="1042"/>
    </row>
    <row r="2919" spans="25:50">
      <c r="Y2919" s="1042"/>
      <c r="Z2919" s="1042"/>
      <c r="AA2919" s="1042"/>
      <c r="AX2919" s="1042"/>
    </row>
    <row r="2920" spans="25:50">
      <c r="Y2920" s="1042"/>
      <c r="Z2920" s="1042"/>
      <c r="AA2920" s="1042"/>
      <c r="AX2920" s="1042"/>
    </row>
    <row r="2921" spans="25:50">
      <c r="Y2921" s="1042"/>
      <c r="Z2921" s="1042"/>
      <c r="AA2921" s="1042"/>
      <c r="AX2921" s="1042"/>
    </row>
    <row r="2922" spans="25:50">
      <c r="Y2922" s="1042"/>
      <c r="Z2922" s="1042"/>
      <c r="AA2922" s="1042"/>
      <c r="AX2922" s="1042"/>
    </row>
    <row r="2923" spans="25:50">
      <c r="Y2923" s="1042"/>
      <c r="Z2923" s="1042"/>
      <c r="AA2923" s="1042"/>
      <c r="AX2923" s="1042"/>
    </row>
    <row r="2924" spans="25:50">
      <c r="Y2924" s="1042"/>
      <c r="Z2924" s="1042"/>
      <c r="AA2924" s="1042"/>
      <c r="AX2924" s="1042"/>
    </row>
    <row r="2925" spans="25:50">
      <c r="Y2925" s="1042"/>
      <c r="Z2925" s="1042"/>
      <c r="AA2925" s="1042"/>
      <c r="AX2925" s="1042"/>
    </row>
    <row r="2926" spans="25:50">
      <c r="Y2926" s="1042"/>
      <c r="Z2926" s="1042"/>
      <c r="AA2926" s="1042"/>
      <c r="AX2926" s="1042"/>
    </row>
    <row r="2927" spans="25:50">
      <c r="Y2927" s="1042"/>
      <c r="Z2927" s="1042"/>
      <c r="AA2927" s="1042"/>
      <c r="AX2927" s="1042"/>
    </row>
    <row r="2928" spans="25:50">
      <c r="Y2928" s="1042"/>
      <c r="Z2928" s="1042"/>
      <c r="AA2928" s="1042"/>
      <c r="AX2928" s="1042"/>
    </row>
    <row r="2929" spans="25:50">
      <c r="Y2929" s="1042"/>
      <c r="Z2929" s="1042"/>
      <c r="AA2929" s="1042"/>
      <c r="AX2929" s="1042"/>
    </row>
    <row r="2930" spans="25:50">
      <c r="Y2930" s="1042"/>
      <c r="Z2930" s="1042"/>
      <c r="AA2930" s="1042"/>
      <c r="AX2930" s="1042"/>
    </row>
    <row r="2931" spans="25:50">
      <c r="Y2931" s="1042"/>
      <c r="Z2931" s="1042"/>
      <c r="AA2931" s="1042"/>
      <c r="AX2931" s="1042"/>
    </row>
    <row r="2932" spans="25:50">
      <c r="Y2932" s="1042"/>
      <c r="Z2932" s="1042"/>
      <c r="AA2932" s="1042"/>
      <c r="AX2932" s="1042"/>
    </row>
    <row r="2933" spans="25:50">
      <c r="Y2933" s="1042"/>
      <c r="Z2933" s="1042"/>
      <c r="AA2933" s="1042"/>
      <c r="AX2933" s="1042"/>
    </row>
    <row r="2934" spans="25:50">
      <c r="Y2934" s="1042"/>
      <c r="Z2934" s="1042"/>
      <c r="AA2934" s="1042"/>
      <c r="AX2934" s="1042"/>
    </row>
    <row r="2935" spans="25:50">
      <c r="Y2935" s="1042"/>
      <c r="Z2935" s="1042"/>
      <c r="AA2935" s="1042"/>
      <c r="AX2935" s="1042"/>
    </row>
    <row r="2936" spans="25:50">
      <c r="Y2936" s="1042"/>
      <c r="Z2936" s="1042"/>
      <c r="AA2936" s="1042"/>
      <c r="AX2936" s="1042"/>
    </row>
    <row r="2937" spans="25:50">
      <c r="Y2937" s="1042"/>
      <c r="Z2937" s="1042"/>
      <c r="AA2937" s="1042"/>
      <c r="AX2937" s="1042"/>
    </row>
    <row r="2938" spans="25:50">
      <c r="Y2938" s="1042"/>
      <c r="Z2938" s="1042"/>
      <c r="AA2938" s="1042"/>
      <c r="AX2938" s="1042"/>
    </row>
    <row r="2939" spans="25:50">
      <c r="Y2939" s="1042"/>
      <c r="Z2939" s="1042"/>
      <c r="AA2939" s="1042"/>
      <c r="AX2939" s="1042"/>
    </row>
    <row r="2940" spans="25:50">
      <c r="Y2940" s="1042"/>
      <c r="Z2940" s="1042"/>
      <c r="AA2940" s="1042"/>
      <c r="AX2940" s="1042"/>
    </row>
    <row r="2941" spans="25:50">
      <c r="Y2941" s="1042"/>
      <c r="Z2941" s="1042"/>
      <c r="AA2941" s="1042"/>
      <c r="AX2941" s="1042"/>
    </row>
    <row r="2942" spans="25:50">
      <c r="Y2942" s="1042"/>
      <c r="Z2942" s="1042"/>
      <c r="AA2942" s="1042"/>
      <c r="AX2942" s="1042"/>
    </row>
    <row r="2943" spans="25:50">
      <c r="Y2943" s="1042"/>
      <c r="Z2943" s="1042"/>
      <c r="AA2943" s="1042"/>
      <c r="AX2943" s="1042"/>
    </row>
    <row r="2944" spans="25:50">
      <c r="Y2944" s="1042"/>
      <c r="Z2944" s="1042"/>
      <c r="AA2944" s="1042"/>
      <c r="AX2944" s="1042"/>
    </row>
    <row r="2945" spans="25:50">
      <c r="Y2945" s="1042"/>
      <c r="Z2945" s="1042"/>
      <c r="AA2945" s="1042"/>
      <c r="AX2945" s="1042"/>
    </row>
    <row r="2946" spans="25:50">
      <c r="Y2946" s="1042"/>
      <c r="Z2946" s="1042"/>
      <c r="AA2946" s="1042"/>
      <c r="AX2946" s="1042"/>
    </row>
    <row r="2947" spans="25:50">
      <c r="Y2947" s="1042"/>
      <c r="Z2947" s="1042"/>
      <c r="AA2947" s="1042"/>
      <c r="AX2947" s="1042"/>
    </row>
    <row r="2948" spans="25:50">
      <c r="Y2948" s="1042"/>
      <c r="Z2948" s="1042"/>
      <c r="AA2948" s="1042"/>
      <c r="AX2948" s="1042"/>
    </row>
    <row r="2949" spans="25:50">
      <c r="Y2949" s="1042"/>
      <c r="Z2949" s="1042"/>
      <c r="AA2949" s="1042"/>
      <c r="AX2949" s="1042"/>
    </row>
    <row r="2950" spans="25:50">
      <c r="Y2950" s="1042"/>
      <c r="Z2950" s="1042"/>
      <c r="AA2950" s="1042"/>
      <c r="AX2950" s="1042"/>
    </row>
    <row r="2951" spans="25:50">
      <c r="Y2951" s="1042"/>
      <c r="Z2951" s="1042"/>
      <c r="AA2951" s="1042"/>
      <c r="AX2951" s="1042"/>
    </row>
    <row r="2952" spans="25:50">
      <c r="Y2952" s="1042"/>
      <c r="Z2952" s="1042"/>
      <c r="AA2952" s="1042"/>
      <c r="AX2952" s="1042"/>
    </row>
    <row r="2953" spans="25:50">
      <c r="Y2953" s="1042"/>
      <c r="Z2953" s="1042"/>
      <c r="AA2953" s="1042"/>
      <c r="AX2953" s="1042"/>
    </row>
    <row r="2954" spans="25:50">
      <c r="Y2954" s="1042"/>
      <c r="Z2954" s="1042"/>
      <c r="AA2954" s="1042"/>
      <c r="AX2954" s="1042"/>
    </row>
    <row r="2955" spans="25:50">
      <c r="Y2955" s="1042"/>
      <c r="Z2955" s="1042"/>
      <c r="AA2955" s="1042"/>
      <c r="AX2955" s="1042"/>
    </row>
    <row r="2956" spans="25:50">
      <c r="Y2956" s="1042"/>
      <c r="Z2956" s="1042"/>
      <c r="AA2956" s="1042"/>
      <c r="AX2956" s="1042"/>
    </row>
    <row r="2957" spans="25:50">
      <c r="Y2957" s="1042"/>
      <c r="Z2957" s="1042"/>
      <c r="AA2957" s="1042"/>
      <c r="AX2957" s="1042"/>
    </row>
    <row r="2958" spans="25:50">
      <c r="Y2958" s="1042"/>
      <c r="Z2958" s="1042"/>
      <c r="AA2958" s="1042"/>
      <c r="AX2958" s="1042"/>
    </row>
    <row r="2959" spans="25:50">
      <c r="Y2959" s="1042"/>
      <c r="Z2959" s="1042"/>
      <c r="AA2959" s="1042"/>
      <c r="AX2959" s="1042"/>
    </row>
    <row r="2960" spans="25:50">
      <c r="Y2960" s="1042"/>
      <c r="Z2960" s="1042"/>
      <c r="AA2960" s="1042"/>
      <c r="AX2960" s="1042"/>
    </row>
    <row r="2961" spans="25:50">
      <c r="Y2961" s="1042"/>
      <c r="Z2961" s="1042"/>
      <c r="AA2961" s="1042"/>
      <c r="AX2961" s="1042"/>
    </row>
    <row r="2962" spans="25:50">
      <c r="Y2962" s="1042"/>
      <c r="Z2962" s="1042"/>
      <c r="AA2962" s="1042"/>
      <c r="AX2962" s="1042"/>
    </row>
    <row r="2963" spans="25:50">
      <c r="Y2963" s="1042"/>
      <c r="Z2963" s="1042"/>
      <c r="AA2963" s="1042"/>
      <c r="AX2963" s="1042"/>
    </row>
    <row r="2964" spans="25:50">
      <c r="Y2964" s="1042"/>
      <c r="Z2964" s="1042"/>
      <c r="AA2964" s="1042"/>
      <c r="AX2964" s="1042"/>
    </row>
    <row r="2965" spans="25:50">
      <c r="Y2965" s="1042"/>
      <c r="Z2965" s="1042"/>
      <c r="AA2965" s="1042"/>
      <c r="AX2965" s="1042"/>
    </row>
    <row r="2966" spans="25:50">
      <c r="Y2966" s="1042"/>
      <c r="Z2966" s="1042"/>
      <c r="AA2966" s="1042"/>
      <c r="AX2966" s="1042"/>
    </row>
    <row r="2967" spans="25:50">
      <c r="Y2967" s="1042"/>
      <c r="Z2967" s="1042"/>
      <c r="AA2967" s="1042"/>
      <c r="AX2967" s="1042"/>
    </row>
    <row r="2968" spans="25:50">
      <c r="Y2968" s="1042"/>
      <c r="Z2968" s="1042"/>
      <c r="AA2968" s="1042"/>
      <c r="AX2968" s="1042"/>
    </row>
    <row r="2969" spans="25:50">
      <c r="Y2969" s="1042"/>
      <c r="Z2969" s="1042"/>
      <c r="AA2969" s="1042"/>
      <c r="AX2969" s="1042"/>
    </row>
    <row r="2970" spans="25:50">
      <c r="Y2970" s="1042"/>
      <c r="Z2970" s="1042"/>
      <c r="AA2970" s="1042"/>
      <c r="AX2970" s="1042"/>
    </row>
    <row r="2971" spans="25:50">
      <c r="Y2971" s="1042"/>
      <c r="Z2971" s="1042"/>
      <c r="AA2971" s="1042"/>
      <c r="AX2971" s="1042"/>
    </row>
    <row r="2972" spans="25:50">
      <c r="Y2972" s="1042"/>
      <c r="Z2972" s="1042"/>
      <c r="AA2972" s="1042"/>
      <c r="AX2972" s="1042"/>
    </row>
    <row r="2973" spans="25:50">
      <c r="Y2973" s="1042"/>
      <c r="Z2973" s="1042"/>
      <c r="AA2973" s="1042"/>
      <c r="AX2973" s="1042"/>
    </row>
    <row r="2974" spans="25:50">
      <c r="Y2974" s="1042"/>
      <c r="Z2974" s="1042"/>
      <c r="AA2974" s="1042"/>
      <c r="AX2974" s="1042"/>
    </row>
  </sheetData>
  <mergeCells count="59">
    <mergeCell ref="AU19:AV19"/>
    <mergeCell ref="AU50:AV50"/>
    <mergeCell ref="A51:B51"/>
    <mergeCell ref="A1:B2"/>
    <mergeCell ref="S1:S2"/>
    <mergeCell ref="Q1:Q2"/>
    <mergeCell ref="R1:R2"/>
    <mergeCell ref="P1:P2"/>
    <mergeCell ref="O1:O2"/>
    <mergeCell ref="C1:C2"/>
    <mergeCell ref="D1:D2"/>
    <mergeCell ref="E1:E2"/>
    <mergeCell ref="F1:F2"/>
    <mergeCell ref="G1:G2"/>
    <mergeCell ref="N1:N2"/>
    <mergeCell ref="M1:M2"/>
    <mergeCell ref="I1:I2"/>
    <mergeCell ref="J1:J2"/>
    <mergeCell ref="H1:H2"/>
    <mergeCell ref="AU1:AU2"/>
    <mergeCell ref="AS1:AS2"/>
    <mergeCell ref="K1:K2"/>
    <mergeCell ref="L1:L2"/>
    <mergeCell ref="AI1:AI2"/>
    <mergeCell ref="AO1:AO2"/>
    <mergeCell ref="AQ1:AQ2"/>
    <mergeCell ref="AJ1:AJ2"/>
    <mergeCell ref="AN1:AN2"/>
    <mergeCell ref="AP1:AP2"/>
    <mergeCell ref="AL1:AL2"/>
    <mergeCell ref="X1:X2"/>
    <mergeCell ref="Y1:Y2"/>
    <mergeCell ref="AB1:AB2"/>
    <mergeCell ref="AC1:AC2"/>
    <mergeCell ref="AY2:BD2"/>
    <mergeCell ref="T1:T2"/>
    <mergeCell ref="AF1:AF2"/>
    <mergeCell ref="AG1:AG2"/>
    <mergeCell ref="AE1:AE2"/>
    <mergeCell ref="Z1:Z2"/>
    <mergeCell ref="AA1:AA2"/>
    <mergeCell ref="AT1:AT2"/>
    <mergeCell ref="U1:U2"/>
    <mergeCell ref="V1:V2"/>
    <mergeCell ref="AD1:AD2"/>
    <mergeCell ref="AH1:AH2"/>
    <mergeCell ref="W1:W2"/>
    <mergeCell ref="AU16:AV16"/>
    <mergeCell ref="AX1:AX2"/>
    <mergeCell ref="AK1:AK2"/>
    <mergeCell ref="AM1:AM2"/>
    <mergeCell ref="AR1:AR2"/>
    <mergeCell ref="AV1:AV2"/>
    <mergeCell ref="AW1:AW2"/>
    <mergeCell ref="AU12:AV12"/>
    <mergeCell ref="AU10:AV10"/>
    <mergeCell ref="AU6:AV6"/>
    <mergeCell ref="AU4:AV4"/>
    <mergeCell ref="AU14:AV14"/>
  </mergeCells>
  <phoneticPr fontId="0" type="noConversion"/>
  <printOptions horizontalCentered="1" verticalCentered="1"/>
  <pageMargins left="0.25" right="0" top="0.5" bottom="0.5" header="0.1" footer="0"/>
  <pageSetup paperSize="5" scale="56" fitToHeight="0" orientation="landscape" r:id="rId1"/>
  <headerFooter alignWithMargins="0">
    <oddHeader xml:space="preserve">&amp;C&amp;"Arial,Bold"&amp;22
Railroad Commission of Texas
Annual Coal Production, 1976 - 2021 </oddHeader>
    <oddFooter>&amp;R&amp;"CG Times,Regular"&amp;12&amp;D</oddFooter>
  </headerFooter>
  <ignoredErrors>
    <ignoredError sqref="AO52 AL51" formula="1"/>
    <ignoredError sqref="AX26 AX23 AX20 AX13 AX9 AX15 AX18 AX7 AX5 AX28" unlockedFormula="1"/>
    <ignoredError sqref="AL31:AL32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Y61"/>
  <sheetViews>
    <sheetView zoomScale="63" zoomScaleNormal="63" workbookViewId="0">
      <pane xSplit="3" ySplit="2" topLeftCell="D18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ColWidth="9.140625" defaultRowHeight="18.75"/>
  <cols>
    <col min="1" max="1" width="11.28515625" style="891" customWidth="1"/>
    <col min="2" max="2" width="2.42578125" style="891" customWidth="1"/>
    <col min="3" max="3" width="30.42578125" style="891" customWidth="1"/>
    <col min="4" max="4" width="17.140625" style="913" customWidth="1"/>
    <col min="5" max="5" width="16.140625" style="914" customWidth="1"/>
    <col min="6" max="6" width="12.5703125" style="914" customWidth="1"/>
    <col min="7" max="7" width="10.140625" style="914" customWidth="1"/>
    <col min="8" max="8" width="14.85546875" style="913" customWidth="1"/>
    <col min="9" max="9" width="3.140625" style="920" customWidth="1"/>
    <col min="10" max="10" width="15.7109375" style="918" customWidth="1"/>
    <col min="11" max="11" width="0.42578125" style="920" customWidth="1"/>
    <col min="12" max="12" width="6" style="891" customWidth="1"/>
    <col min="13" max="13" width="17.85546875" style="913" customWidth="1"/>
    <col min="14" max="14" width="15.7109375" style="793" customWidth="1"/>
    <col min="15" max="15" width="14.85546875" style="912" customWidth="1"/>
    <col min="16" max="16" width="17.7109375" style="914" customWidth="1"/>
    <col min="17" max="17" width="10.5703125" style="804" customWidth="1"/>
    <col min="18" max="18" width="14.7109375" style="793" customWidth="1"/>
    <col min="19" max="19" width="15.85546875" style="921" customWidth="1"/>
    <col min="20" max="20" width="9.140625" style="921" customWidth="1"/>
    <col min="21" max="21" width="9.140625" style="793"/>
    <col min="22" max="22" width="5.28515625" style="793" customWidth="1"/>
    <col min="23" max="23" width="9.140625" style="793"/>
    <col min="24" max="24" width="11.5703125" style="793" customWidth="1"/>
    <col min="25" max="16384" width="9.140625" style="793"/>
  </cols>
  <sheetData>
    <row r="1" spans="1:25" ht="18.75" customHeight="1">
      <c r="A1" s="1995" t="s">
        <v>6</v>
      </c>
      <c r="B1" s="1996"/>
      <c r="C1" s="1999" t="s">
        <v>162</v>
      </c>
      <c r="D1" s="2001" t="s">
        <v>386</v>
      </c>
      <c r="E1" s="2003" t="s">
        <v>289</v>
      </c>
      <c r="F1" s="2003" t="s">
        <v>187</v>
      </c>
      <c r="G1" s="2003" t="s">
        <v>288</v>
      </c>
      <c r="H1" s="1983" t="s">
        <v>238</v>
      </c>
      <c r="I1" s="1985" t="s">
        <v>184</v>
      </c>
      <c r="J1" s="1987" t="s">
        <v>350</v>
      </c>
      <c r="K1" s="1989" t="s">
        <v>184</v>
      </c>
      <c r="L1" s="792"/>
      <c r="M1" s="1991" t="s">
        <v>347</v>
      </c>
      <c r="N1" s="1993" t="s">
        <v>208</v>
      </c>
      <c r="O1" s="1979" t="s">
        <v>299</v>
      </c>
      <c r="P1" s="1980" t="s">
        <v>387</v>
      </c>
      <c r="Q1" s="1982"/>
      <c r="S1" s="921" t="s">
        <v>385</v>
      </c>
    </row>
    <row r="2" spans="1:25" ht="36" customHeight="1" thickBot="1">
      <c r="A2" s="1997"/>
      <c r="B2" s="1998"/>
      <c r="C2" s="2000"/>
      <c r="D2" s="2002"/>
      <c r="E2" s="2004"/>
      <c r="F2" s="2004"/>
      <c r="G2" s="2004"/>
      <c r="H2" s="1984"/>
      <c r="I2" s="1986"/>
      <c r="J2" s="1988"/>
      <c r="K2" s="1990"/>
      <c r="L2" s="792"/>
      <c r="M2" s="1992"/>
      <c r="N2" s="1994"/>
      <c r="O2" s="1979"/>
      <c r="P2" s="1981"/>
      <c r="Q2" s="1982"/>
      <c r="S2" s="921" t="s">
        <v>384</v>
      </c>
    </row>
    <row r="3" spans="1:25">
      <c r="A3" s="794" t="s">
        <v>110</v>
      </c>
      <c r="B3" s="795"/>
      <c r="C3" s="796"/>
      <c r="D3" s="1240"/>
      <c r="E3" s="1241"/>
      <c r="F3" s="1241"/>
      <c r="G3" s="1241"/>
      <c r="H3" s="1242"/>
      <c r="I3" s="1243"/>
      <c r="J3" s="1301"/>
      <c r="K3" s="1244"/>
      <c r="L3" s="1215"/>
      <c r="M3" s="1245">
        <f>'SUM 2015'!D3</f>
        <v>0</v>
      </c>
      <c r="N3" s="1216"/>
      <c r="O3" s="1197"/>
      <c r="P3" s="1246"/>
      <c r="Q3" s="1198"/>
      <c r="R3" s="1217"/>
      <c r="S3" s="1200"/>
    </row>
    <row r="4" spans="1:25">
      <c r="A4" s="805" t="s">
        <v>249</v>
      </c>
      <c r="B4" s="806"/>
      <c r="C4" s="931" t="s">
        <v>125</v>
      </c>
      <c r="D4" s="854">
        <v>0</v>
      </c>
      <c r="E4" s="855">
        <v>7823</v>
      </c>
      <c r="F4" s="855">
        <v>0</v>
      </c>
      <c r="G4" s="855">
        <v>0</v>
      </c>
      <c r="H4" s="964">
        <v>0</v>
      </c>
      <c r="I4" s="1098" t="s">
        <v>185</v>
      </c>
      <c r="J4" s="1302">
        <f>ROUND(6600+13.05*E4,2)</f>
        <v>108690.15</v>
      </c>
      <c r="K4" s="1099"/>
      <c r="L4" s="1195"/>
      <c r="M4" s="859">
        <f>'SUM 2015'!D4</f>
        <v>0</v>
      </c>
      <c r="N4" s="1196">
        <f>D4-M4</f>
        <v>0</v>
      </c>
      <c r="O4" s="1218"/>
      <c r="P4" s="861">
        <v>7823</v>
      </c>
      <c r="Q4" s="1198">
        <f>E4-P4</f>
        <v>0</v>
      </c>
      <c r="R4" s="1199"/>
      <c r="S4" s="1200"/>
    </row>
    <row r="5" spans="1:25">
      <c r="A5" s="815" t="s">
        <v>246</v>
      </c>
      <c r="B5" s="816"/>
      <c r="C5" s="817"/>
      <c r="D5" s="1248"/>
      <c r="E5" s="1249"/>
      <c r="F5" s="1249"/>
      <c r="G5" s="1249"/>
      <c r="H5" s="965"/>
      <c r="I5" s="1100"/>
      <c r="J5" s="1303"/>
      <c r="K5" s="1101"/>
      <c r="L5" s="1195"/>
      <c r="M5" s="781">
        <f>'SUM 2015'!D5</f>
        <v>0</v>
      </c>
      <c r="N5" s="1219"/>
      <c r="O5" s="1060"/>
      <c r="P5" s="1250"/>
      <c r="Q5" s="1198"/>
      <c r="R5" s="1199"/>
      <c r="S5" s="1200"/>
    </row>
    <row r="6" spans="1:25">
      <c r="A6" s="805" t="s">
        <v>321</v>
      </c>
      <c r="B6" s="826"/>
      <c r="C6" s="931" t="s">
        <v>144</v>
      </c>
      <c r="D6" s="854">
        <v>1788007</v>
      </c>
      <c r="E6" s="855">
        <v>6199.8</v>
      </c>
      <c r="F6" s="855">
        <v>334.7</v>
      </c>
      <c r="G6" s="855">
        <v>229</v>
      </c>
      <c r="H6" s="1251">
        <f>D6/G6</f>
        <v>7807.8908296943227</v>
      </c>
      <c r="I6" s="1098" t="s">
        <v>185</v>
      </c>
      <c r="J6" s="1304">
        <f>ROUND(6600+13.05*E6,2)</f>
        <v>87507.39</v>
      </c>
      <c r="K6" s="1099"/>
      <c r="L6" s="1195"/>
      <c r="M6" s="859">
        <f>'SUM 2015'!D6</f>
        <v>652086</v>
      </c>
      <c r="N6" s="1196">
        <f>D6-M6</f>
        <v>1135921</v>
      </c>
      <c r="O6" s="1252">
        <f>N6/M6</f>
        <v>1.7419803522848214</v>
      </c>
      <c r="P6" s="861">
        <v>6199.8</v>
      </c>
      <c r="Q6" s="1220">
        <f>E6-P6</f>
        <v>0</v>
      </c>
      <c r="R6" s="1199">
        <f>Q6*13.05</f>
        <v>0</v>
      </c>
      <c r="S6" s="1200"/>
      <c r="T6" s="1006"/>
      <c r="U6" s="925" t="s">
        <v>340</v>
      </c>
      <c r="Y6" s="793">
        <v>9</v>
      </c>
    </row>
    <row r="7" spans="1:25">
      <c r="A7" s="829" t="s">
        <v>147</v>
      </c>
      <c r="B7" s="830"/>
      <c r="C7" s="831"/>
      <c r="D7" s="1253"/>
      <c r="E7" s="1254"/>
      <c r="F7" s="1254"/>
      <c r="G7" s="1254"/>
      <c r="H7" s="1255"/>
      <c r="I7" s="1256"/>
      <c r="J7" s="1305"/>
      <c r="K7" s="1257"/>
      <c r="L7" s="1195"/>
      <c r="M7" s="1258">
        <f>'SUM 2015'!D7</f>
        <v>0</v>
      </c>
      <c r="N7" s="1226"/>
      <c r="O7" s="1060"/>
      <c r="P7" s="1259"/>
      <c r="Q7" s="1198"/>
      <c r="R7" s="1199"/>
      <c r="S7" s="1200"/>
      <c r="T7" s="1007"/>
      <c r="U7" s="925" t="s">
        <v>341</v>
      </c>
      <c r="Y7" s="793">
        <v>4</v>
      </c>
    </row>
    <row r="8" spans="1:25">
      <c r="A8" s="838" t="s">
        <v>223</v>
      </c>
      <c r="B8" s="839"/>
      <c r="C8" s="872" t="s">
        <v>127</v>
      </c>
      <c r="D8" s="865">
        <v>0</v>
      </c>
      <c r="E8" s="866">
        <v>2477.6999999999998</v>
      </c>
      <c r="F8" s="866">
        <v>0</v>
      </c>
      <c r="G8" s="866">
        <v>0</v>
      </c>
      <c r="H8" s="1260">
        <v>0</v>
      </c>
      <c r="I8" s="1100" t="s">
        <v>185</v>
      </c>
      <c r="J8" s="1303">
        <f>ROUND(6600+13.05*E8,2)</f>
        <v>38933.99</v>
      </c>
      <c r="K8" s="1101"/>
      <c r="L8" s="1195"/>
      <c r="M8" s="870">
        <f>'SUM 2015'!D8</f>
        <v>0</v>
      </c>
      <c r="N8" s="1204">
        <f>D8-M8</f>
        <v>0</v>
      </c>
      <c r="O8" s="1247"/>
      <c r="P8" s="885">
        <v>2477.6999999999998</v>
      </c>
      <c r="Q8" s="1198">
        <f>E8-P8</f>
        <v>0</v>
      </c>
      <c r="R8" s="1199"/>
      <c r="S8" s="1200"/>
      <c r="T8" s="1008"/>
      <c r="U8" s="925" t="s">
        <v>342</v>
      </c>
      <c r="Y8" s="793">
        <v>1</v>
      </c>
    </row>
    <row r="9" spans="1:25">
      <c r="A9" s="838" t="s">
        <v>224</v>
      </c>
      <c r="B9" s="839"/>
      <c r="C9" s="872" t="s">
        <v>128</v>
      </c>
      <c r="D9" s="865">
        <v>0</v>
      </c>
      <c r="E9" s="866">
        <v>615.9</v>
      </c>
      <c r="F9" s="866">
        <v>0</v>
      </c>
      <c r="G9" s="866">
        <v>0</v>
      </c>
      <c r="H9" s="965">
        <v>0</v>
      </c>
      <c r="I9" s="1100" t="s">
        <v>185</v>
      </c>
      <c r="J9" s="1303">
        <f>ROUND(6600+13.05*E9,2)</f>
        <v>14637.5</v>
      </c>
      <c r="K9" s="1101"/>
      <c r="L9" s="1195"/>
      <c r="M9" s="870">
        <f>'SUM 2015'!D9</f>
        <v>0</v>
      </c>
      <c r="N9" s="1204">
        <f>D9-M9</f>
        <v>0</v>
      </c>
      <c r="O9" s="1247"/>
      <c r="P9" s="885">
        <v>615.9</v>
      </c>
      <c r="Q9" s="1198">
        <f>E9-P9</f>
        <v>0</v>
      </c>
      <c r="R9" s="1199"/>
      <c r="S9" s="1227" t="s">
        <v>345</v>
      </c>
      <c r="T9" s="1009"/>
      <c r="U9" s="925" t="s">
        <v>355</v>
      </c>
      <c r="Y9" s="793">
        <v>12</v>
      </c>
    </row>
    <row r="10" spans="1:25" ht="19.5" thickBot="1">
      <c r="A10" s="838" t="s">
        <v>291</v>
      </c>
      <c r="B10" s="839"/>
      <c r="C10" s="872" t="s">
        <v>177</v>
      </c>
      <c r="D10" s="1261">
        <v>0</v>
      </c>
      <c r="E10" s="1262">
        <v>531.9</v>
      </c>
      <c r="F10" s="1262">
        <v>0</v>
      </c>
      <c r="G10" s="1262">
        <v>0</v>
      </c>
      <c r="H10" s="1263">
        <v>0</v>
      </c>
      <c r="I10" s="1092" t="s">
        <v>185</v>
      </c>
      <c r="J10" s="1306">
        <f>ROUND(6600+13.05*E10,2)</f>
        <v>13541.3</v>
      </c>
      <c r="K10" s="1094"/>
      <c r="L10" s="1195"/>
      <c r="M10" s="934">
        <f>'SUM 2015'!D10</f>
        <v>0</v>
      </c>
      <c r="N10" s="1206">
        <f>D10-M10</f>
        <v>0</v>
      </c>
      <c r="O10" s="1247"/>
      <c r="P10" s="1264">
        <v>531.9</v>
      </c>
      <c r="Q10" s="1198">
        <f>E10-P10</f>
        <v>0</v>
      </c>
      <c r="R10" s="1199"/>
      <c r="S10" s="1200"/>
      <c r="T10" s="1294"/>
      <c r="U10" s="925" t="s">
        <v>348</v>
      </c>
      <c r="Y10" s="793">
        <v>5</v>
      </c>
    </row>
    <row r="11" spans="1:25" s="860" customFormat="1" ht="19.5" thickTop="1">
      <c r="A11" s="851"/>
      <c r="B11" s="852"/>
      <c r="C11" s="853" t="s">
        <v>278</v>
      </c>
      <c r="D11" s="854">
        <f>SUM(D8:D10)</f>
        <v>0</v>
      </c>
      <c r="E11" s="855">
        <f>ROUND(SUM(E8:E10),1)</f>
        <v>3625.5</v>
      </c>
      <c r="F11" s="855">
        <f>SUM(F8:F10)</f>
        <v>0</v>
      </c>
      <c r="G11" s="855">
        <f>SUM(G8:G10)</f>
        <v>0</v>
      </c>
      <c r="H11" s="977">
        <f>SUM(H8:H10)</f>
        <v>0</v>
      </c>
      <c r="I11" s="1087" t="s">
        <v>185</v>
      </c>
      <c r="J11" s="1302">
        <f>SUM(J8:J10)</f>
        <v>67112.789999999994</v>
      </c>
      <c r="K11" s="1088"/>
      <c r="L11" s="1195"/>
      <c r="M11" s="859">
        <f>'SUM 2015'!D11</f>
        <v>0</v>
      </c>
      <c r="N11" s="1196">
        <f>D11-M11</f>
        <v>0</v>
      </c>
      <c r="O11" s="1060"/>
      <c r="P11" s="861">
        <f>SUM(P8:P10)</f>
        <v>3625.5</v>
      </c>
      <c r="Q11" s="1198"/>
      <c r="R11" s="1199"/>
      <c r="S11" s="1200"/>
      <c r="T11" s="1291"/>
      <c r="U11" s="925" t="s">
        <v>388</v>
      </c>
    </row>
    <row r="12" spans="1:25">
      <c r="A12" s="815" t="s">
        <v>313</v>
      </c>
      <c r="B12" s="863"/>
      <c r="C12" s="864"/>
      <c r="D12" s="865"/>
      <c r="E12" s="866"/>
      <c r="F12" s="866"/>
      <c r="G12" s="866"/>
      <c r="H12" s="965"/>
      <c r="I12" s="1089"/>
      <c r="J12" s="1307"/>
      <c r="K12" s="1090"/>
      <c r="L12" s="1195"/>
      <c r="M12" s="859">
        <f>'SUM 2015'!D12</f>
        <v>0</v>
      </c>
      <c r="N12" s="1204"/>
      <c r="O12" s="1060"/>
      <c r="P12" s="885"/>
      <c r="Q12" s="1198"/>
      <c r="R12" s="1199"/>
      <c r="S12" s="1200"/>
      <c r="T12" s="1316" t="s">
        <v>407</v>
      </c>
    </row>
    <row r="13" spans="1:25">
      <c r="A13" s="871">
        <v>57</v>
      </c>
      <c r="B13" s="863"/>
      <c r="C13" s="872" t="s">
        <v>314</v>
      </c>
      <c r="D13" s="865">
        <v>0</v>
      </c>
      <c r="E13" s="866">
        <v>80.8</v>
      </c>
      <c r="F13" s="1265">
        <v>0</v>
      </c>
      <c r="G13" s="1265">
        <v>0</v>
      </c>
      <c r="H13" s="965">
        <v>0</v>
      </c>
      <c r="I13" s="1089" t="s">
        <v>185</v>
      </c>
      <c r="J13" s="1307">
        <f>ROUND(6600+13.05*E13,2)</f>
        <v>7654.44</v>
      </c>
      <c r="K13" s="1203"/>
      <c r="L13" s="1195"/>
      <c r="M13" s="870">
        <f>'SUM 2015'!D13</f>
        <v>0</v>
      </c>
      <c r="N13" s="1204">
        <f>D13-M13</f>
        <v>0</v>
      </c>
      <c r="O13" s="1266"/>
      <c r="P13" s="885">
        <v>80.8</v>
      </c>
      <c r="Q13" s="1198">
        <f>E13-P13</f>
        <v>0</v>
      </c>
      <c r="R13" s="1199"/>
      <c r="S13" s="1200"/>
      <c r="T13" s="927"/>
    </row>
    <row r="14" spans="1:25" ht="19.5" thickBot="1">
      <c r="A14" s="871">
        <v>59</v>
      </c>
      <c r="B14" s="863"/>
      <c r="C14" s="872" t="s">
        <v>326</v>
      </c>
      <c r="D14" s="1261">
        <v>213647</v>
      </c>
      <c r="E14" s="1262">
        <v>970</v>
      </c>
      <c r="F14" s="1267">
        <v>37.369999999999997</v>
      </c>
      <c r="G14" s="1267">
        <v>52.64</v>
      </c>
      <c r="H14" s="1268">
        <f>D14/G14</f>
        <v>4058.6436170212764</v>
      </c>
      <c r="I14" s="1092" t="s">
        <v>185</v>
      </c>
      <c r="J14" s="1308">
        <f>ROUND(6600+13.05*E14,2)</f>
        <v>19258.5</v>
      </c>
      <c r="K14" s="1205"/>
      <c r="L14" s="1228"/>
      <c r="M14" s="1261">
        <f>'SUM 2015'!D14</f>
        <v>210573</v>
      </c>
      <c r="N14" s="1206">
        <f>D14-M14</f>
        <v>3074</v>
      </c>
      <c r="O14" s="1269">
        <f>N14/M14</f>
        <v>1.4598262835216291E-2</v>
      </c>
      <c r="P14" s="1264">
        <v>970</v>
      </c>
      <c r="Q14" s="1198">
        <f>E14-P14</f>
        <v>0</v>
      </c>
      <c r="R14" s="1199"/>
      <c r="S14" s="1200"/>
    </row>
    <row r="15" spans="1:25" ht="19.5" thickTop="1">
      <c r="A15" s="871"/>
      <c r="B15" s="863"/>
      <c r="C15" s="864" t="s">
        <v>325</v>
      </c>
      <c r="D15" s="870">
        <f>SUM(D13:D14)</f>
        <v>213647</v>
      </c>
      <c r="E15" s="885">
        <f>ROUND(SUM(E13:E14),1)</f>
        <v>1050.8</v>
      </c>
      <c r="F15" s="779">
        <f t="shared" ref="F15:H15" si="0">SUM(F13:F14)</f>
        <v>37.369999999999997</v>
      </c>
      <c r="G15" s="779">
        <f t="shared" si="0"/>
        <v>52.64</v>
      </c>
      <c r="H15" s="1111">
        <f t="shared" si="0"/>
        <v>4058.6436170212764</v>
      </c>
      <c r="I15" s="1256"/>
      <c r="J15" s="1305">
        <f>SUM(J13:J14)</f>
        <v>26912.94</v>
      </c>
      <c r="K15" s="1225"/>
      <c r="L15" s="1195"/>
      <c r="M15" s="899">
        <f>'SUM 2015'!D15</f>
        <v>210573</v>
      </c>
      <c r="N15" s="1204">
        <f>SUM(N13:N14)</f>
        <v>3074</v>
      </c>
      <c r="O15" s="1060"/>
      <c r="P15" s="885">
        <f>SUM(P13:P14)</f>
        <v>1050.8</v>
      </c>
      <c r="Q15" s="1198"/>
      <c r="R15" s="1199"/>
      <c r="S15" s="1200"/>
    </row>
    <row r="16" spans="1:25">
      <c r="A16" s="829" t="s">
        <v>180</v>
      </c>
      <c r="B16" s="830"/>
      <c r="C16" s="831"/>
      <c r="D16" s="1253"/>
      <c r="E16" s="1254"/>
      <c r="F16" s="1254"/>
      <c r="G16" s="1254"/>
      <c r="H16" s="1255"/>
      <c r="I16" s="1256"/>
      <c r="J16" s="1305"/>
      <c r="K16" s="1225"/>
      <c r="L16" s="1195"/>
      <c r="M16" s="1258">
        <f>'SUM 2015'!D16</f>
        <v>0</v>
      </c>
      <c r="N16" s="1226"/>
      <c r="O16" s="1060"/>
      <c r="P16" s="1259"/>
      <c r="Q16" s="1198"/>
      <c r="R16" s="1199"/>
      <c r="S16" s="1200"/>
    </row>
    <row r="17" spans="1:24">
      <c r="A17" s="838" t="s">
        <v>399</v>
      </c>
      <c r="B17" s="839"/>
      <c r="C17" s="872" t="s">
        <v>132</v>
      </c>
      <c r="D17" s="865">
        <v>3643619</v>
      </c>
      <c r="E17" s="866">
        <v>13027.6</v>
      </c>
      <c r="F17" s="866">
        <v>181.3</v>
      </c>
      <c r="G17" s="866">
        <v>79.2</v>
      </c>
      <c r="H17" s="1111">
        <f>D17/G17</f>
        <v>46005.290404040403</v>
      </c>
      <c r="I17" s="1100" t="s">
        <v>185</v>
      </c>
      <c r="J17" s="1303">
        <f>ROUND(6600+13.05*E17,2)</f>
        <v>176610.18</v>
      </c>
      <c r="K17" s="1208"/>
      <c r="L17" s="1195"/>
      <c r="M17" s="870">
        <f>'SUM 2015'!D17</f>
        <v>2745691</v>
      </c>
      <c r="N17" s="1204">
        <f>D17-M17</f>
        <v>897928</v>
      </c>
      <c r="O17" s="1252">
        <f>N17/M17</f>
        <v>0.32703170167364065</v>
      </c>
      <c r="P17" s="885">
        <v>13027.6</v>
      </c>
      <c r="Q17" s="1198">
        <f>E17-P17</f>
        <v>0</v>
      </c>
      <c r="R17" s="1199"/>
      <c r="S17" s="1200"/>
    </row>
    <row r="18" spans="1:24" ht="19.5" thickBot="1">
      <c r="A18" s="838" t="s">
        <v>253</v>
      </c>
      <c r="B18" s="839"/>
      <c r="C18" s="872" t="s">
        <v>157</v>
      </c>
      <c r="D18" s="1261">
        <v>21372</v>
      </c>
      <c r="E18" s="1262">
        <v>5358.7</v>
      </c>
      <c r="F18" s="1262">
        <v>0</v>
      </c>
      <c r="G18" s="1262">
        <v>0</v>
      </c>
      <c r="H18" s="1270" t="s">
        <v>389</v>
      </c>
      <c r="I18" s="1271" t="s">
        <v>185</v>
      </c>
      <c r="J18" s="1306">
        <f>ROUND(6600+13.05*E18,2)</f>
        <v>76531.039999999994</v>
      </c>
      <c r="K18" s="1229"/>
      <c r="L18" s="1195"/>
      <c r="M18" s="934">
        <f>'SUM 2015'!D18</f>
        <v>607826</v>
      </c>
      <c r="N18" s="1206">
        <f>D18-M18</f>
        <v>-586454</v>
      </c>
      <c r="O18" s="1290">
        <f>N18/M18</f>
        <v>-0.96483862157920197</v>
      </c>
      <c r="P18" s="1264">
        <v>5358.7</v>
      </c>
      <c r="Q18" s="1198">
        <f t="shared" ref="Q18:Q49" si="1">E18-P18</f>
        <v>0</v>
      </c>
      <c r="R18" s="1199"/>
      <c r="S18" s="1200"/>
    </row>
    <row r="19" spans="1:24" s="860" customFormat="1" ht="19.5" thickTop="1">
      <c r="A19" s="851"/>
      <c r="B19" s="852"/>
      <c r="C19" s="853" t="s">
        <v>279</v>
      </c>
      <c r="D19" s="859">
        <f>SUM(D17:D18)</f>
        <v>3664991</v>
      </c>
      <c r="E19" s="861">
        <f>ROUND(SUM(E17:E18),2)</f>
        <v>18386.3</v>
      </c>
      <c r="F19" s="861">
        <f>SUM(F17:F18)</f>
        <v>181.3</v>
      </c>
      <c r="G19" s="861">
        <f>SUM(G17:G18)</f>
        <v>79.2</v>
      </c>
      <c r="H19" s="977"/>
      <c r="I19" s="1098" t="s">
        <v>185</v>
      </c>
      <c r="J19" s="1304">
        <f>SUM(J17:J18)</f>
        <v>253141.21999999997</v>
      </c>
      <c r="K19" s="1207"/>
      <c r="L19" s="1195"/>
      <c r="M19" s="859">
        <f>'SUM 2015'!D19</f>
        <v>3353517</v>
      </c>
      <c r="N19" s="1196">
        <f>D19-M19</f>
        <v>311474</v>
      </c>
      <c r="O19" s="1272">
        <f>N19/M19</f>
        <v>9.2879803501816155E-2</v>
      </c>
      <c r="P19" s="861">
        <f>SUM(P17:P18)</f>
        <v>18386.3</v>
      </c>
      <c r="Q19" s="1198"/>
      <c r="R19" s="1199"/>
      <c r="S19" s="1200"/>
      <c r="T19" s="927"/>
    </row>
    <row r="20" spans="1:24">
      <c r="A20" s="829" t="s">
        <v>75</v>
      </c>
      <c r="B20" s="830"/>
      <c r="C20" s="831"/>
      <c r="D20" s="1253"/>
      <c r="E20" s="1254"/>
      <c r="F20" s="1254"/>
      <c r="G20" s="1254"/>
      <c r="H20" s="1255"/>
      <c r="I20" s="1256"/>
      <c r="J20" s="1305"/>
      <c r="K20" s="1225"/>
      <c r="L20" s="1195"/>
      <c r="M20" s="1258">
        <f>'SUM 2015'!D20</f>
        <v>0</v>
      </c>
      <c r="N20" s="1226"/>
      <c r="O20" s="1272"/>
      <c r="P20" s="1259"/>
      <c r="Q20" s="1198"/>
      <c r="R20" s="1199"/>
      <c r="S20" s="1200"/>
    </row>
    <row r="21" spans="1:24">
      <c r="A21" s="838" t="s">
        <v>290</v>
      </c>
      <c r="B21" s="839"/>
      <c r="C21" s="872" t="s">
        <v>216</v>
      </c>
      <c r="D21" s="865">
        <v>2177192</v>
      </c>
      <c r="E21" s="866">
        <v>16527.900000000001</v>
      </c>
      <c r="F21" s="866">
        <v>236.1</v>
      </c>
      <c r="G21" s="866">
        <v>207</v>
      </c>
      <c r="H21" s="1111">
        <f>D21/G21</f>
        <v>10517.835748792271</v>
      </c>
      <c r="I21" s="1100" t="s">
        <v>185</v>
      </c>
      <c r="J21" s="1303">
        <f>ROUND(6600+13.05*E21,2)</f>
        <v>222289.1</v>
      </c>
      <c r="K21" s="1208"/>
      <c r="L21" s="1195"/>
      <c r="M21" s="870">
        <f>'SUM 2015'!D21</f>
        <v>2072130</v>
      </c>
      <c r="N21" s="1204">
        <f>D21-M21</f>
        <v>105062</v>
      </c>
      <c r="O21" s="1252">
        <f>N21/M21</f>
        <v>5.0702417319376678E-2</v>
      </c>
      <c r="P21" s="885">
        <v>16527.900000000001</v>
      </c>
      <c r="Q21" s="1198">
        <f t="shared" si="1"/>
        <v>0</v>
      </c>
      <c r="R21" s="1199"/>
      <c r="S21" s="1200"/>
    </row>
    <row r="22" spans="1:24" ht="19.5" thickBot="1">
      <c r="A22" s="838">
        <v>55</v>
      </c>
      <c r="B22" s="839"/>
      <c r="C22" s="872" t="s">
        <v>293</v>
      </c>
      <c r="D22" s="1261">
        <v>2020588</v>
      </c>
      <c r="E22" s="1262">
        <v>6450</v>
      </c>
      <c r="F22" s="1262">
        <v>175.9</v>
      </c>
      <c r="G22" s="1262">
        <v>185.9</v>
      </c>
      <c r="H22" s="1270">
        <f>D22/G22</f>
        <v>10869.220010758472</v>
      </c>
      <c r="I22" s="1271" t="s">
        <v>185</v>
      </c>
      <c r="J22" s="1306">
        <f>ROUND(6600+13.05*E22,2)</f>
        <v>90772.5</v>
      </c>
      <c r="K22" s="1229"/>
      <c r="L22" s="1195"/>
      <c r="M22" s="934">
        <f>'SUM 2015'!D22</f>
        <v>1568107</v>
      </c>
      <c r="N22" s="1206">
        <f>D22-M22</f>
        <v>452481</v>
      </c>
      <c r="O22" s="1252">
        <f>N22/M22</f>
        <v>0.28855237557130986</v>
      </c>
      <c r="P22" s="1264">
        <v>6450</v>
      </c>
      <c r="Q22" s="1198">
        <f t="shared" si="1"/>
        <v>0</v>
      </c>
      <c r="R22" s="1199"/>
      <c r="S22" s="1200"/>
      <c r="V22" s="1314">
        <v>29</v>
      </c>
      <c r="W22" s="793" t="s">
        <v>351</v>
      </c>
    </row>
    <row r="23" spans="1:24" s="860" customFormat="1" ht="19.5" thickTop="1">
      <c r="A23" s="880"/>
      <c r="B23" s="881"/>
      <c r="C23" s="864" t="s">
        <v>294</v>
      </c>
      <c r="D23" s="870">
        <f>SUM(D21:D22)</f>
        <v>4197780</v>
      </c>
      <c r="E23" s="885">
        <f>ROUND(SUM(E21:E22),2)</f>
        <v>22977.9</v>
      </c>
      <c r="F23" s="885">
        <f>SUM(F21:F22)</f>
        <v>412</v>
      </c>
      <c r="G23" s="885">
        <f>SUM(G21:G22)</f>
        <v>392.9</v>
      </c>
      <c r="H23" s="965"/>
      <c r="I23" s="1100" t="s">
        <v>185</v>
      </c>
      <c r="J23" s="1303">
        <f>SUM(J21:J22)</f>
        <v>313061.59999999998</v>
      </c>
      <c r="K23" s="1208"/>
      <c r="L23" s="1195"/>
      <c r="M23" s="870">
        <f>'SUM 2015'!D23</f>
        <v>3640237</v>
      </c>
      <c r="N23" s="1204">
        <f>SUM(N21:N22)</f>
        <v>557543</v>
      </c>
      <c r="O23" s="1272">
        <f>N23/M23</f>
        <v>0.15316118153845479</v>
      </c>
      <c r="P23" s="885">
        <f>SUM(P21:P22)</f>
        <v>22977.9</v>
      </c>
      <c r="Q23" s="1198"/>
      <c r="R23" s="1199"/>
      <c r="S23" s="1200"/>
      <c r="T23" s="927"/>
      <c r="U23" s="1107" t="s">
        <v>360</v>
      </c>
      <c r="V23" s="1315">
        <v>9</v>
      </c>
      <c r="W23" s="793" t="s">
        <v>352</v>
      </c>
    </row>
    <row r="24" spans="1:24">
      <c r="A24" s="829" t="s">
        <v>338</v>
      </c>
      <c r="B24" s="830"/>
      <c r="C24" s="831"/>
      <c r="D24" s="1253"/>
      <c r="E24" s="1254"/>
      <c r="F24" s="1254"/>
      <c r="G24" s="1254"/>
      <c r="H24" s="1255"/>
      <c r="I24" s="1256"/>
      <c r="J24" s="1305"/>
      <c r="K24" s="1225"/>
      <c r="L24" s="1195"/>
      <c r="M24" s="1258">
        <f>'SUM 2015'!D24</f>
        <v>0</v>
      </c>
      <c r="N24" s="1221"/>
      <c r="O24" s="1272"/>
      <c r="P24" s="1259"/>
      <c r="Q24" s="1198"/>
      <c r="R24" s="1199"/>
      <c r="S24" s="1200"/>
      <c r="U24" s="1108"/>
      <c r="V24" s="1314">
        <f>V22-V23</f>
        <v>20</v>
      </c>
    </row>
    <row r="25" spans="1:24">
      <c r="A25" s="838" t="s">
        <v>322</v>
      </c>
      <c r="B25" s="839"/>
      <c r="C25" s="872" t="s">
        <v>151</v>
      </c>
      <c r="D25" s="865">
        <v>530939</v>
      </c>
      <c r="E25" s="866">
        <v>10389</v>
      </c>
      <c r="F25" s="1265">
        <v>22.8</v>
      </c>
      <c r="G25" s="1265">
        <v>41.1</v>
      </c>
      <c r="H25" s="1111">
        <f>D25/G25</f>
        <v>12918.223844282238</v>
      </c>
      <c r="I25" s="1100" t="s">
        <v>185</v>
      </c>
      <c r="J25" s="1303">
        <f>ROUND(6600+13.05*E25,2)</f>
        <v>142176.45000000001</v>
      </c>
      <c r="K25" s="1208"/>
      <c r="L25" s="1195"/>
      <c r="M25" s="870">
        <f>'SUM 2015'!D25</f>
        <v>301299</v>
      </c>
      <c r="N25" s="1204">
        <f>D25-M25</f>
        <v>229640</v>
      </c>
      <c r="O25" s="1252">
        <f>N25/M25</f>
        <v>0.76216648578322532</v>
      </c>
      <c r="P25" s="885">
        <v>10389</v>
      </c>
      <c r="Q25" s="1198">
        <f t="shared" si="1"/>
        <v>0</v>
      </c>
      <c r="R25" s="1199"/>
      <c r="S25" s="1200"/>
      <c r="U25" s="1108" t="s">
        <v>360</v>
      </c>
      <c r="V25" s="1315">
        <v>11</v>
      </c>
      <c r="W25" s="793" t="s">
        <v>353</v>
      </c>
    </row>
    <row r="26" spans="1:24" ht="19.5" thickBot="1">
      <c r="A26" s="838" t="s">
        <v>323</v>
      </c>
      <c r="B26" s="839"/>
      <c r="C26" s="872" t="s">
        <v>244</v>
      </c>
      <c r="D26" s="1261">
        <v>2245919</v>
      </c>
      <c r="E26" s="1262">
        <v>3668.2</v>
      </c>
      <c r="F26" s="1267">
        <v>288.7</v>
      </c>
      <c r="G26" s="1267">
        <v>271.89999999999998</v>
      </c>
      <c r="H26" s="1270">
        <f>D26/G26</f>
        <v>8260.0919455682251</v>
      </c>
      <c r="I26" s="1271" t="s">
        <v>185</v>
      </c>
      <c r="J26" s="1306">
        <f>ROUND(6600+13.05*E26,2)</f>
        <v>54470.01</v>
      </c>
      <c r="K26" s="1229"/>
      <c r="L26" s="1195"/>
      <c r="M26" s="934">
        <f>'SUM 2015'!D26</f>
        <v>2256572</v>
      </c>
      <c r="N26" s="1206">
        <f>D26-M26</f>
        <v>-10653</v>
      </c>
      <c r="O26" s="1290">
        <f>N26/M26</f>
        <v>-4.720877508007721E-3</v>
      </c>
      <c r="P26" s="1264">
        <v>3668.2</v>
      </c>
      <c r="Q26" s="1198">
        <f t="shared" si="1"/>
        <v>0</v>
      </c>
      <c r="R26" s="1199"/>
      <c r="S26" s="1200"/>
      <c r="U26" s="1108"/>
      <c r="V26" s="1314">
        <f>V24-V25</f>
        <v>9</v>
      </c>
    </row>
    <row r="27" spans="1:24" s="860" customFormat="1" ht="19.5" thickTop="1">
      <c r="A27" s="880"/>
      <c r="B27" s="881"/>
      <c r="C27" s="864" t="s">
        <v>280</v>
      </c>
      <c r="D27" s="870">
        <f>SUM(D25:D26)</f>
        <v>2776858</v>
      </c>
      <c r="E27" s="885">
        <f>ROUND(SUM(E25:E26),2)</f>
        <v>14057.2</v>
      </c>
      <c r="F27" s="779">
        <f>SUM(F25:F26)</f>
        <v>311.5</v>
      </c>
      <c r="G27" s="779">
        <f>SUM(G25:G26)</f>
        <v>313</v>
      </c>
      <c r="H27" s="965"/>
      <c r="I27" s="1100" t="s">
        <v>185</v>
      </c>
      <c r="J27" s="1303">
        <f>SUM(J25:J26)</f>
        <v>196646.46000000002</v>
      </c>
      <c r="K27" s="1208"/>
      <c r="L27" s="1195"/>
      <c r="M27" s="870">
        <f>'SUM 2015'!D27</f>
        <v>2557871</v>
      </c>
      <c r="N27" s="1204">
        <f>SUM(N25:N26)</f>
        <v>218987</v>
      </c>
      <c r="O27" s="1272">
        <f>N27/M27</f>
        <v>8.5612996120601859E-2</v>
      </c>
      <c r="P27" s="885">
        <f>SUM(P25:P26)</f>
        <v>14057.2</v>
      </c>
      <c r="Q27" s="1198"/>
      <c r="R27" s="1199"/>
      <c r="S27" s="1200"/>
      <c r="T27" s="927"/>
      <c r="U27" s="1107" t="s">
        <v>360</v>
      </c>
      <c r="V27" s="1315">
        <v>6</v>
      </c>
      <c r="W27" s="793" t="s">
        <v>354</v>
      </c>
      <c r="X27" s="793"/>
    </row>
    <row r="28" spans="1:24">
      <c r="A28" s="829" t="s">
        <v>78</v>
      </c>
      <c r="B28" s="830"/>
      <c r="C28" s="831"/>
      <c r="D28" s="1253"/>
      <c r="E28" s="1254"/>
      <c r="F28" s="1254"/>
      <c r="G28" s="1254"/>
      <c r="H28" s="1255"/>
      <c r="I28" s="1256"/>
      <c r="J28" s="1305"/>
      <c r="K28" s="1225"/>
      <c r="L28" s="1195"/>
      <c r="M28" s="1258">
        <f>'SUM 2015'!D28</f>
        <v>0</v>
      </c>
      <c r="N28" s="1226"/>
      <c r="O28" s="1272"/>
      <c r="P28" s="1259"/>
      <c r="Q28" s="1198"/>
      <c r="R28" s="1199"/>
      <c r="S28" s="1200"/>
      <c r="U28" s="1108"/>
      <c r="V28" s="1314">
        <f>V26-V27</f>
        <v>3</v>
      </c>
    </row>
    <row r="29" spans="1:24">
      <c r="A29" s="838" t="s">
        <v>230</v>
      </c>
      <c r="B29" s="839"/>
      <c r="C29" s="872" t="s">
        <v>134</v>
      </c>
      <c r="D29" s="865">
        <v>0</v>
      </c>
      <c r="E29" s="866">
        <v>5116.7</v>
      </c>
      <c r="F29" s="866">
        <v>0</v>
      </c>
      <c r="G29" s="866">
        <v>0</v>
      </c>
      <c r="H29" s="965">
        <v>0</v>
      </c>
      <c r="I29" s="1100" t="s">
        <v>185</v>
      </c>
      <c r="J29" s="1303">
        <f>ROUND(6600+13.05*E29,2)</f>
        <v>73372.94</v>
      </c>
      <c r="K29" s="1208"/>
      <c r="L29" s="1195"/>
      <c r="M29" s="870">
        <f>'SUM 2015'!D29</f>
        <v>0</v>
      </c>
      <c r="N29" s="1204">
        <f>D29-M29</f>
        <v>0</v>
      </c>
      <c r="O29" s="1273"/>
      <c r="P29" s="885">
        <v>5116.7</v>
      </c>
      <c r="Q29" s="1198">
        <f t="shared" si="1"/>
        <v>0</v>
      </c>
      <c r="R29" s="1199"/>
      <c r="S29" s="1230"/>
      <c r="U29" s="1108" t="s">
        <v>360</v>
      </c>
      <c r="V29" s="1315">
        <v>1</v>
      </c>
      <c r="W29" s="793" t="s">
        <v>356</v>
      </c>
    </row>
    <row r="30" spans="1:24" ht="19.5" thickBot="1">
      <c r="A30" s="838" t="s">
        <v>231</v>
      </c>
      <c r="B30" s="839"/>
      <c r="C30" s="872" t="s">
        <v>178</v>
      </c>
      <c r="D30" s="1261">
        <v>0</v>
      </c>
      <c r="E30" s="1262">
        <v>1907.3</v>
      </c>
      <c r="F30" s="1262">
        <v>0</v>
      </c>
      <c r="G30" s="1262">
        <v>0</v>
      </c>
      <c r="H30" s="1268">
        <v>0</v>
      </c>
      <c r="I30" s="1271" t="s">
        <v>185</v>
      </c>
      <c r="J30" s="1306">
        <f>ROUND(6600+13.05*E30,2)</f>
        <v>31490.27</v>
      </c>
      <c r="K30" s="1229"/>
      <c r="L30" s="1195"/>
      <c r="M30" s="934">
        <f>'SUM 2015'!D30</f>
        <v>0</v>
      </c>
      <c r="N30" s="1206">
        <f>D30-M30</f>
        <v>0</v>
      </c>
      <c r="O30" s="1273"/>
      <c r="P30" s="1264">
        <v>1907.3</v>
      </c>
      <c r="Q30" s="1198">
        <f t="shared" si="1"/>
        <v>0</v>
      </c>
      <c r="R30" s="1199"/>
      <c r="S30" s="1230"/>
      <c r="U30" s="1108"/>
      <c r="V30" s="1314">
        <f>V28-V29</f>
        <v>2</v>
      </c>
    </row>
    <row r="31" spans="1:24" s="860" customFormat="1" ht="19.5" thickTop="1">
      <c r="A31" s="851"/>
      <c r="B31" s="852"/>
      <c r="C31" s="853" t="s">
        <v>281</v>
      </c>
      <c r="D31" s="859">
        <f>SUM(D29:D30)</f>
        <v>0</v>
      </c>
      <c r="E31" s="861">
        <f>ROUND(SUM(E29:E30),2)</f>
        <v>7024</v>
      </c>
      <c r="F31" s="861">
        <f>SUM(F29:F30)</f>
        <v>0</v>
      </c>
      <c r="G31" s="861">
        <f>SUM(G29:G30)</f>
        <v>0</v>
      </c>
      <c r="H31" s="964">
        <v>0</v>
      </c>
      <c r="I31" s="1087" t="s">
        <v>185</v>
      </c>
      <c r="J31" s="1309">
        <f>SUM(J29:J30)</f>
        <v>104863.21</v>
      </c>
      <c r="K31" s="1194"/>
      <c r="L31" s="1195"/>
      <c r="M31" s="859">
        <f>'SUM 2015'!D31</f>
        <v>0</v>
      </c>
      <c r="N31" s="1196">
        <f>D31-M31</f>
        <v>0</v>
      </c>
      <c r="O31" s="1272"/>
      <c r="P31" s="861">
        <f>SUM(P29:P30)</f>
        <v>7024</v>
      </c>
      <c r="Q31" s="1198"/>
      <c r="R31" s="1199"/>
      <c r="S31" s="1200"/>
      <c r="T31" s="927"/>
      <c r="U31" s="1107" t="s">
        <v>360</v>
      </c>
      <c r="V31" s="1315">
        <v>2</v>
      </c>
      <c r="W31" s="793" t="s">
        <v>357</v>
      </c>
      <c r="X31" s="793"/>
    </row>
    <row r="32" spans="1:24">
      <c r="A32" s="829" t="s">
        <v>219</v>
      </c>
      <c r="B32" s="830"/>
      <c r="C32" s="831"/>
      <c r="D32" s="1221"/>
      <c r="E32" s="1222"/>
      <c r="F32" s="1222"/>
      <c r="G32" s="1222"/>
      <c r="H32" s="1223"/>
      <c r="I32" s="1224"/>
      <c r="J32" s="1310"/>
      <c r="K32" s="1225"/>
      <c r="L32" s="1195"/>
      <c r="M32" s="1258">
        <f>'SUM 2015'!D32</f>
        <v>0</v>
      </c>
      <c r="N32" s="1226"/>
      <c r="O32" s="1272"/>
      <c r="P32" s="1259"/>
      <c r="Q32" s="1198"/>
      <c r="R32" s="1199"/>
      <c r="S32" s="1200"/>
      <c r="V32" s="793">
        <f>V30-V31</f>
        <v>0</v>
      </c>
    </row>
    <row r="33" spans="1:23">
      <c r="A33" s="838" t="s">
        <v>311</v>
      </c>
      <c r="B33" s="839"/>
      <c r="C33" s="872" t="s">
        <v>136</v>
      </c>
      <c r="D33" s="865">
        <v>0</v>
      </c>
      <c r="E33" s="866">
        <v>4362.3999999999996</v>
      </c>
      <c r="F33" s="866">
        <v>0</v>
      </c>
      <c r="G33" s="866">
        <v>0</v>
      </c>
      <c r="H33" s="965">
        <v>0</v>
      </c>
      <c r="I33" s="1100" t="s">
        <v>185</v>
      </c>
      <c r="J33" s="1303">
        <f t="shared" ref="J33:J45" si="2">ROUND(6600+13.05*E33,2)</f>
        <v>63529.32</v>
      </c>
      <c r="K33" s="1208"/>
      <c r="L33" s="1195"/>
      <c r="M33" s="870">
        <f>'SUM 2015'!D33</f>
        <v>0</v>
      </c>
      <c r="N33" s="1204">
        <f t="shared" ref="N33:N46" si="3">D33-M33</f>
        <v>0</v>
      </c>
      <c r="O33" s="1273"/>
      <c r="P33" s="885">
        <v>4362.3999999999996</v>
      </c>
      <c r="Q33" s="1220">
        <f t="shared" si="1"/>
        <v>0</v>
      </c>
      <c r="R33" s="1199">
        <f t="shared" ref="R33:R36" si="4">13.05*Q33</f>
        <v>0</v>
      </c>
      <c r="S33" s="1200"/>
    </row>
    <row r="34" spans="1:23">
      <c r="A34" s="838" t="s">
        <v>400</v>
      </c>
      <c r="B34" s="839"/>
      <c r="C34" s="872" t="s">
        <v>143</v>
      </c>
      <c r="D34" s="865">
        <v>2864517</v>
      </c>
      <c r="E34" s="866">
        <v>17242</v>
      </c>
      <c r="F34" s="866">
        <v>191.3</v>
      </c>
      <c r="G34" s="866">
        <v>141.5</v>
      </c>
      <c r="H34" s="1111">
        <f>D34/G34</f>
        <v>20243.936395759716</v>
      </c>
      <c r="I34" s="1100" t="s">
        <v>185</v>
      </c>
      <c r="J34" s="1303">
        <f t="shared" si="2"/>
        <v>231608.1</v>
      </c>
      <c r="K34" s="1208"/>
      <c r="L34" s="1195"/>
      <c r="M34" s="870">
        <f>'SUM 2015'!D34</f>
        <v>3400533</v>
      </c>
      <c r="N34" s="1204">
        <f t="shared" si="3"/>
        <v>-536016</v>
      </c>
      <c r="O34" s="1290">
        <f>N34/M34</f>
        <v>-0.15762705434706853</v>
      </c>
      <c r="P34" s="885">
        <v>17242</v>
      </c>
      <c r="Q34" s="1198">
        <f t="shared" si="1"/>
        <v>0</v>
      </c>
      <c r="R34" s="1199"/>
      <c r="S34" s="1200"/>
      <c r="W34" s="793" t="s">
        <v>404</v>
      </c>
    </row>
    <row r="35" spans="1:23">
      <c r="A35" s="838" t="s">
        <v>324</v>
      </c>
      <c r="B35" s="839"/>
      <c r="C35" s="872" t="s">
        <v>137</v>
      </c>
      <c r="D35" s="865">
        <v>1186697</v>
      </c>
      <c r="E35" s="866">
        <v>19759</v>
      </c>
      <c r="F35" s="866">
        <v>121.5</v>
      </c>
      <c r="G35" s="866">
        <v>138.69999999999999</v>
      </c>
      <c r="H35" s="1111">
        <f>D35/G35</f>
        <v>8555.8543619322281</v>
      </c>
      <c r="I35" s="1100" t="s">
        <v>185</v>
      </c>
      <c r="J35" s="1303">
        <f t="shared" si="2"/>
        <v>264454.95</v>
      </c>
      <c r="K35" s="1208"/>
      <c r="L35" s="1195"/>
      <c r="M35" s="870">
        <f>'SUM 2015'!D35</f>
        <v>2203582</v>
      </c>
      <c r="N35" s="1204">
        <f t="shared" si="3"/>
        <v>-1016885</v>
      </c>
      <c r="O35" s="1290">
        <f>N35/M35</f>
        <v>-0.46146909894889321</v>
      </c>
      <c r="P35" s="885">
        <v>19759</v>
      </c>
      <c r="Q35" s="1198">
        <f t="shared" si="1"/>
        <v>0</v>
      </c>
      <c r="R35" s="1199"/>
      <c r="S35" s="1200"/>
    </row>
    <row r="36" spans="1:23">
      <c r="A36" s="838" t="s">
        <v>333</v>
      </c>
      <c r="B36" s="839"/>
      <c r="C36" s="872" t="s">
        <v>145</v>
      </c>
      <c r="D36" s="865">
        <v>0</v>
      </c>
      <c r="E36" s="866">
        <v>14908</v>
      </c>
      <c r="F36" s="866">
        <v>0</v>
      </c>
      <c r="G36" s="866">
        <v>0</v>
      </c>
      <c r="H36" s="1111">
        <v>0</v>
      </c>
      <c r="I36" s="1100" t="s">
        <v>185</v>
      </c>
      <c r="J36" s="1303">
        <f t="shared" si="2"/>
        <v>201149.4</v>
      </c>
      <c r="K36" s="1208"/>
      <c r="L36" s="1195"/>
      <c r="M36" s="870">
        <f>'SUM 2015'!D36</f>
        <v>52186</v>
      </c>
      <c r="N36" s="1204">
        <f t="shared" si="3"/>
        <v>-52186</v>
      </c>
      <c r="O36" s="1290">
        <f>N36/M36</f>
        <v>-1</v>
      </c>
      <c r="P36" s="885">
        <v>14908</v>
      </c>
      <c r="Q36" s="1220">
        <f t="shared" si="1"/>
        <v>0</v>
      </c>
      <c r="R36" s="1199">
        <f t="shared" si="4"/>
        <v>0</v>
      </c>
      <c r="S36" s="1200"/>
    </row>
    <row r="37" spans="1:23">
      <c r="A37" s="838" t="s">
        <v>271</v>
      </c>
      <c r="B37" s="839"/>
      <c r="C37" s="872" t="s">
        <v>138</v>
      </c>
      <c r="D37" s="865">
        <v>0</v>
      </c>
      <c r="E37" s="866">
        <v>3147</v>
      </c>
      <c r="F37" s="866">
        <v>0</v>
      </c>
      <c r="G37" s="866">
        <v>0</v>
      </c>
      <c r="H37" s="1111">
        <v>0</v>
      </c>
      <c r="I37" s="1100" t="s">
        <v>185</v>
      </c>
      <c r="J37" s="1303">
        <f t="shared" si="2"/>
        <v>47668.35</v>
      </c>
      <c r="K37" s="1208"/>
      <c r="L37" s="1195"/>
      <c r="M37" s="870">
        <f>'SUM 2015'!D37</f>
        <v>0</v>
      </c>
      <c r="N37" s="1204">
        <f t="shared" si="3"/>
        <v>0</v>
      </c>
      <c r="O37" s="1273"/>
      <c r="P37" s="885">
        <v>3147</v>
      </c>
      <c r="Q37" s="1220">
        <f t="shared" si="1"/>
        <v>0</v>
      </c>
      <c r="R37" s="1199">
        <f>13.05*Q37</f>
        <v>0</v>
      </c>
      <c r="S37" s="1200"/>
    </row>
    <row r="38" spans="1:23">
      <c r="A38" s="838" t="s">
        <v>334</v>
      </c>
      <c r="B38" s="839"/>
      <c r="C38" s="872" t="s">
        <v>165</v>
      </c>
      <c r="D38" s="1248">
        <v>6983347</v>
      </c>
      <c r="E38" s="1249">
        <v>15286</v>
      </c>
      <c r="F38" s="1249">
        <v>46.5</v>
      </c>
      <c r="G38" s="1249">
        <v>208.9</v>
      </c>
      <c r="H38" s="1274">
        <f t="shared" ref="H38:H40" si="5">D38/G38</f>
        <v>33429.138343705119</v>
      </c>
      <c r="I38" s="1100" t="s">
        <v>185</v>
      </c>
      <c r="J38" s="1303">
        <f t="shared" si="2"/>
        <v>206082.3</v>
      </c>
      <c r="K38" s="1208"/>
      <c r="L38" s="1195"/>
      <c r="M38" s="781">
        <f>'SUM 2015'!D38</f>
        <v>6152589</v>
      </c>
      <c r="N38" s="1204">
        <f t="shared" si="3"/>
        <v>830758</v>
      </c>
      <c r="O38" s="1252">
        <f>N38/M38</f>
        <v>0.13502575907475697</v>
      </c>
      <c r="P38" s="1250">
        <v>15286</v>
      </c>
      <c r="Q38" s="1198">
        <f>E38-P38</f>
        <v>0</v>
      </c>
      <c r="R38" s="1199">
        <f>13.05*Q38</f>
        <v>0</v>
      </c>
      <c r="S38" s="1200"/>
    </row>
    <row r="39" spans="1:23">
      <c r="A39" s="838" t="s">
        <v>401</v>
      </c>
      <c r="B39" s="839"/>
      <c r="C39" s="872" t="s">
        <v>274</v>
      </c>
      <c r="D39" s="865">
        <v>0</v>
      </c>
      <c r="E39" s="866">
        <v>2483.9</v>
      </c>
      <c r="F39" s="866">
        <v>0</v>
      </c>
      <c r="G39" s="866">
        <v>0</v>
      </c>
      <c r="H39" s="1274">
        <v>0</v>
      </c>
      <c r="I39" s="1100" t="s">
        <v>185</v>
      </c>
      <c r="J39" s="1303">
        <f t="shared" si="2"/>
        <v>39014.9</v>
      </c>
      <c r="K39" s="1208"/>
      <c r="L39" s="1195"/>
      <c r="M39" s="870">
        <f>'SUM 2015'!D39</f>
        <v>0</v>
      </c>
      <c r="N39" s="1204">
        <f t="shared" si="3"/>
        <v>0</v>
      </c>
      <c r="O39" s="1292"/>
      <c r="P39" s="885">
        <v>2483.9</v>
      </c>
      <c r="Q39" s="1198">
        <f t="shared" si="1"/>
        <v>0</v>
      </c>
      <c r="R39" s="1199"/>
      <c r="S39" s="1200"/>
    </row>
    <row r="40" spans="1:23">
      <c r="A40" s="838" t="s">
        <v>402</v>
      </c>
      <c r="B40" s="839"/>
      <c r="C40" s="872" t="s">
        <v>217</v>
      </c>
      <c r="D40" s="865">
        <v>9299300</v>
      </c>
      <c r="E40" s="866">
        <v>11240</v>
      </c>
      <c r="F40" s="866">
        <v>531.33000000000004</v>
      </c>
      <c r="G40" s="866">
        <v>471.57</v>
      </c>
      <c r="H40" s="1274">
        <f t="shared" si="5"/>
        <v>19719.871917212717</v>
      </c>
      <c r="I40" s="1100" t="s">
        <v>185</v>
      </c>
      <c r="J40" s="1303">
        <f t="shared" si="2"/>
        <v>153282</v>
      </c>
      <c r="K40" s="1208"/>
      <c r="L40" s="1195"/>
      <c r="M40" s="870">
        <f>'SUM 2015'!D40</f>
        <v>8424747</v>
      </c>
      <c r="N40" s="1204">
        <f t="shared" si="3"/>
        <v>874553</v>
      </c>
      <c r="O40" s="1252">
        <f>N40/M40</f>
        <v>0.10380762769493256</v>
      </c>
      <c r="P40" s="885">
        <v>11240</v>
      </c>
      <c r="Q40" s="1198">
        <f t="shared" si="1"/>
        <v>0</v>
      </c>
      <c r="R40" s="1199">
        <f>13.05*Q40</f>
        <v>0</v>
      </c>
      <c r="S40" s="1200"/>
    </row>
    <row r="41" spans="1:23">
      <c r="A41" s="838">
        <v>51</v>
      </c>
      <c r="B41" s="839"/>
      <c r="C41" s="872" t="s">
        <v>242</v>
      </c>
      <c r="D41" s="865">
        <v>0</v>
      </c>
      <c r="E41" s="866">
        <v>4293</v>
      </c>
      <c r="F41" s="866">
        <v>0</v>
      </c>
      <c r="G41" s="866">
        <v>0</v>
      </c>
      <c r="H41" s="1260">
        <v>0</v>
      </c>
      <c r="I41" s="1100" t="s">
        <v>185</v>
      </c>
      <c r="J41" s="1303">
        <f t="shared" si="2"/>
        <v>62623.65</v>
      </c>
      <c r="K41" s="1208"/>
      <c r="L41" s="1195"/>
      <c r="M41" s="870">
        <f>'SUM 2015'!D41</f>
        <v>0</v>
      </c>
      <c r="N41" s="1204">
        <f t="shared" si="3"/>
        <v>0</v>
      </c>
      <c r="O41" s="1292"/>
      <c r="P41" s="885">
        <v>4293</v>
      </c>
      <c r="Q41" s="1198">
        <f t="shared" si="1"/>
        <v>0</v>
      </c>
      <c r="R41" s="1199"/>
      <c r="S41" s="1200"/>
    </row>
    <row r="42" spans="1:23">
      <c r="A42" s="838">
        <v>53</v>
      </c>
      <c r="B42" s="839"/>
      <c r="C42" s="872" t="s">
        <v>250</v>
      </c>
      <c r="D42" s="865">
        <v>0</v>
      </c>
      <c r="E42" s="866">
        <v>2308</v>
      </c>
      <c r="F42" s="866">
        <v>0</v>
      </c>
      <c r="G42" s="866">
        <v>0</v>
      </c>
      <c r="H42" s="1260">
        <v>0</v>
      </c>
      <c r="I42" s="1100" t="s">
        <v>185</v>
      </c>
      <c r="J42" s="1303">
        <f t="shared" si="2"/>
        <v>36719.4</v>
      </c>
      <c r="K42" s="1208"/>
      <c r="L42" s="1195"/>
      <c r="M42" s="870">
        <f>'SUM 2015'!D42</f>
        <v>0</v>
      </c>
      <c r="N42" s="1204">
        <f t="shared" si="3"/>
        <v>0</v>
      </c>
      <c r="O42" s="1273"/>
      <c r="P42" s="885">
        <v>2308</v>
      </c>
      <c r="Q42" s="1198">
        <f>E42-P42</f>
        <v>0</v>
      </c>
      <c r="R42" s="1199"/>
      <c r="S42" s="1200"/>
    </row>
    <row r="43" spans="1:23">
      <c r="A43" s="838" t="s">
        <v>346</v>
      </c>
      <c r="B43" s="839"/>
      <c r="C43" s="872" t="s">
        <v>275</v>
      </c>
      <c r="D43" s="865">
        <v>1415346</v>
      </c>
      <c r="E43" s="866">
        <v>3614.4</v>
      </c>
      <c r="F43" s="866">
        <v>54.53</v>
      </c>
      <c r="G43" s="866">
        <v>69.95</v>
      </c>
      <c r="H43" s="1274">
        <f t="shared" ref="H43:H44" si="6">D43/G43</f>
        <v>20233.681200857754</v>
      </c>
      <c r="I43" s="1100" t="s">
        <v>185</v>
      </c>
      <c r="J43" s="1303">
        <f t="shared" si="2"/>
        <v>53767.92</v>
      </c>
      <c r="K43" s="1208"/>
      <c r="L43" s="1195"/>
      <c r="M43" s="870">
        <f>'SUM 2015'!D43</f>
        <v>1395817</v>
      </c>
      <c r="N43" s="1204">
        <f t="shared" si="3"/>
        <v>19529</v>
      </c>
      <c r="O43" s="1252">
        <f>N43/M43</f>
        <v>1.3991089089758902E-2</v>
      </c>
      <c r="P43" s="885">
        <v>3614.4</v>
      </c>
      <c r="Q43" s="1198">
        <f t="shared" ref="Q43:Q44" si="7">E43-P43</f>
        <v>0</v>
      </c>
      <c r="R43" s="1199"/>
      <c r="S43" s="1200"/>
    </row>
    <row r="44" spans="1:23">
      <c r="A44" s="926">
        <v>56</v>
      </c>
      <c r="C44" s="929" t="s">
        <v>309</v>
      </c>
      <c r="D44" s="1275">
        <v>59120</v>
      </c>
      <c r="E44" s="1276">
        <v>278.89999999999998</v>
      </c>
      <c r="F44" s="1276">
        <v>0</v>
      </c>
      <c r="G44" s="1276">
        <v>15.42</v>
      </c>
      <c r="H44" s="1274">
        <f t="shared" si="6"/>
        <v>3833.9818417639431</v>
      </c>
      <c r="I44" s="1311" t="s">
        <v>185</v>
      </c>
      <c r="J44" s="1303">
        <f t="shared" si="2"/>
        <v>10239.65</v>
      </c>
      <c r="K44" s="1231"/>
      <c r="L44" s="1232"/>
      <c r="M44" s="1275">
        <f>'SUM 2015'!D44</f>
        <v>579854</v>
      </c>
      <c r="N44" s="1204">
        <f t="shared" si="3"/>
        <v>-520734</v>
      </c>
      <c r="O44" s="1290">
        <f t="shared" ref="O44:O45" si="8">N44/M44</f>
        <v>-0.89804330055496728</v>
      </c>
      <c r="P44" s="1276">
        <v>278.89999999999998</v>
      </c>
      <c r="Q44" s="1198">
        <f t="shared" si="7"/>
        <v>0</v>
      </c>
      <c r="R44" s="1199"/>
      <c r="S44" s="1200"/>
    </row>
    <row r="45" spans="1:23" ht="19.5" thickBot="1">
      <c r="A45" s="838">
        <v>58</v>
      </c>
      <c r="B45" s="839"/>
      <c r="C45" s="872" t="s">
        <v>310</v>
      </c>
      <c r="D45" s="865">
        <v>2567044</v>
      </c>
      <c r="E45" s="866">
        <v>3424.8</v>
      </c>
      <c r="F45" s="866">
        <v>152.6</v>
      </c>
      <c r="G45" s="1262">
        <v>186.1</v>
      </c>
      <c r="H45" s="1277">
        <f>D45/G45</f>
        <v>13793.895754970446</v>
      </c>
      <c r="I45" s="1271" t="s">
        <v>185</v>
      </c>
      <c r="J45" s="1306">
        <f t="shared" si="2"/>
        <v>51293.64</v>
      </c>
      <c r="K45" s="1229"/>
      <c r="L45" s="1195"/>
      <c r="M45" s="870">
        <f>'SUM 2015'!D45</f>
        <v>1573950</v>
      </c>
      <c r="N45" s="1204">
        <f t="shared" si="3"/>
        <v>993094</v>
      </c>
      <c r="O45" s="1252">
        <f t="shared" si="8"/>
        <v>0.63095651068966607</v>
      </c>
      <c r="P45" s="1264">
        <v>3424.8</v>
      </c>
      <c r="Q45" s="1198">
        <f t="shared" si="1"/>
        <v>0</v>
      </c>
      <c r="R45" s="1199"/>
      <c r="S45" s="1200"/>
    </row>
    <row r="46" spans="1:23" s="860" customFormat="1" ht="19.5" thickTop="1">
      <c r="A46" s="851"/>
      <c r="B46" s="852"/>
      <c r="C46" s="853" t="s">
        <v>282</v>
      </c>
      <c r="D46" s="899">
        <f>SUM(D33:D45)</f>
        <v>24375371</v>
      </c>
      <c r="E46" s="900">
        <f>ROUND(SUM(E33:E45),2)</f>
        <v>102347.4</v>
      </c>
      <c r="F46" s="900">
        <f>SUM(F33:F45)</f>
        <v>1097.76</v>
      </c>
      <c r="G46" s="861">
        <f>SUM(G33:G45)</f>
        <v>1232.1400000000001</v>
      </c>
      <c r="H46" s="964"/>
      <c r="I46" s="1087" t="s">
        <v>185</v>
      </c>
      <c r="J46" s="1302">
        <f>SUM(J33:J45)</f>
        <v>1421433.5799999994</v>
      </c>
      <c r="K46" s="1194"/>
      <c r="L46" s="1195"/>
      <c r="M46" s="899">
        <f>'SUM 2015'!D46</f>
        <v>23783258</v>
      </c>
      <c r="N46" s="1209">
        <f t="shared" si="3"/>
        <v>592113</v>
      </c>
      <c r="O46" s="1272">
        <f>N46/M46</f>
        <v>2.489621060327395E-2</v>
      </c>
      <c r="P46" s="900">
        <f>SUM(P33:P45)</f>
        <v>102347.39999999998</v>
      </c>
      <c r="Q46" s="1198"/>
      <c r="R46" s="1199">
        <f>SUM(R4:R45)</f>
        <v>0</v>
      </c>
      <c r="S46" s="1200"/>
      <c r="T46" s="927"/>
    </row>
    <row r="47" spans="1:23">
      <c r="A47" s="829" t="s">
        <v>86</v>
      </c>
      <c r="B47" s="830"/>
      <c r="C47" s="831"/>
      <c r="D47" s="1201"/>
      <c r="E47" s="1202"/>
      <c r="F47" s="1202"/>
      <c r="G47" s="1222"/>
      <c r="H47" s="1223"/>
      <c r="I47" s="1224"/>
      <c r="J47" s="1310"/>
      <c r="K47" s="1225"/>
      <c r="L47" s="1195"/>
      <c r="M47" s="870">
        <f>'SUM 2015'!D47</f>
        <v>0</v>
      </c>
      <c r="N47" s="1204"/>
      <c r="O47" s="1272"/>
      <c r="P47" s="1259"/>
      <c r="Q47" s="1198"/>
      <c r="R47" s="1199"/>
      <c r="S47" s="1233">
        <f>SUM(R4:R45)</f>
        <v>0</v>
      </c>
      <c r="T47" s="921" t="s">
        <v>359</v>
      </c>
    </row>
    <row r="48" spans="1:23" ht="19.5" thickBot="1">
      <c r="A48" s="901" t="s">
        <v>403</v>
      </c>
      <c r="B48" s="902"/>
      <c r="C48" s="930" t="s">
        <v>139</v>
      </c>
      <c r="D48" s="1261">
        <v>2123225</v>
      </c>
      <c r="E48" s="1262">
        <v>6081</v>
      </c>
      <c r="F48" s="1262">
        <v>61.1</v>
      </c>
      <c r="G48" s="1262">
        <v>121.5</v>
      </c>
      <c r="H48" s="1270">
        <f>D48/G48</f>
        <v>17475.102880658436</v>
      </c>
      <c r="I48" s="1271" t="s">
        <v>185</v>
      </c>
      <c r="J48" s="1306">
        <f>ROUND(6600+13.05*E48,2)</f>
        <v>85957.05</v>
      </c>
      <c r="K48" s="1229"/>
      <c r="L48" s="1195"/>
      <c r="M48" s="934">
        <f>'SUM 2015'!D48</f>
        <v>2079570</v>
      </c>
      <c r="N48" s="1206">
        <f>D48-M48</f>
        <v>43655</v>
      </c>
      <c r="O48" s="1252">
        <f>N48/M48</f>
        <v>2.0992320527801419E-2</v>
      </c>
      <c r="P48" s="1264">
        <v>6081</v>
      </c>
      <c r="Q48" s="1198">
        <f t="shared" si="1"/>
        <v>0</v>
      </c>
      <c r="R48" s="1199"/>
      <c r="S48" s="1200"/>
    </row>
    <row r="49" spans="1:20" ht="20.25" thickTop="1" thickBot="1">
      <c r="A49" s="1942" t="s">
        <v>44</v>
      </c>
      <c r="B49" s="1943"/>
      <c r="C49" s="1944"/>
      <c r="D49" s="975">
        <f>SUM(D4,D6,D11,D15,D19,D23,D27,D31,D46,D48)</f>
        <v>39139879</v>
      </c>
      <c r="E49" s="911">
        <f>SUM(E4,E6,E11,E15,E19,E23,E27,E31,E46,E48)</f>
        <v>189572.9</v>
      </c>
      <c r="F49" s="911">
        <f>SUM(F4,F6,F11,F15,F19,F23,F27,F31,F46,F48)</f>
        <v>2435.73</v>
      </c>
      <c r="G49" s="911">
        <f>SUM(G4,G6,G11,G15,G19,G23,G27,G31,G46,G48)</f>
        <v>2420.38</v>
      </c>
      <c r="H49" s="976">
        <f>D49/G49</f>
        <v>16170.964476652425</v>
      </c>
      <c r="I49" s="906" t="s">
        <v>185</v>
      </c>
      <c r="J49" s="1312">
        <f>SUM(J4,J6,J11,J15,J19,J23,J27,J31,J46,J48)</f>
        <v>2665326.3899999992</v>
      </c>
      <c r="K49" s="1210"/>
      <c r="L49" s="1232"/>
      <c r="M49" s="975">
        <f>'SUM 2015'!D49</f>
        <v>36277112</v>
      </c>
      <c r="N49" s="1211">
        <f>D49-M49</f>
        <v>2862767</v>
      </c>
      <c r="O49" s="1293">
        <f>N49/M49</f>
        <v>7.8913861720855835E-2</v>
      </c>
      <c r="P49" s="1295">
        <f>SUM(P4,P6,P11,P15,,P19,P23,P27,P31,P46,P48)</f>
        <v>189572.89999999997</v>
      </c>
      <c r="Q49" s="1198">
        <f t="shared" si="1"/>
        <v>0</v>
      </c>
      <c r="R49" s="1197">
        <f>Q49/P49</f>
        <v>0</v>
      </c>
      <c r="S49" s="1217"/>
      <c r="T49" s="793"/>
    </row>
    <row r="50" spans="1:20">
      <c r="D50" s="1213"/>
      <c r="E50" s="1212"/>
      <c r="F50" s="1212"/>
      <c r="G50" s="1212"/>
      <c r="H50" s="1213"/>
      <c r="I50" s="1214"/>
      <c r="J50" s="1234"/>
      <c r="K50" s="1214"/>
      <c r="L50" s="1232"/>
      <c r="M50" s="1213"/>
      <c r="N50" s="1217"/>
      <c r="O50" s="1235"/>
      <c r="P50" s="1212"/>
      <c r="Q50" s="1198"/>
      <c r="R50" s="1217"/>
      <c r="S50" s="1217"/>
      <c r="T50" s="793"/>
    </row>
    <row r="51" spans="1:20">
      <c r="D51" s="1213"/>
      <c r="E51" s="1212"/>
      <c r="F51" s="1212"/>
      <c r="G51" s="1212"/>
      <c r="H51" s="1213"/>
      <c r="I51" s="1214"/>
      <c r="J51" s="1234"/>
      <c r="K51" s="1214"/>
      <c r="L51" s="1232"/>
      <c r="M51" s="1213"/>
      <c r="N51" s="1200"/>
      <c r="O51" s="1197"/>
      <c r="P51" s="1212"/>
      <c r="Q51" s="1198"/>
      <c r="R51" s="1217"/>
      <c r="S51" s="1217"/>
      <c r="T51" s="793"/>
    </row>
    <row r="52" spans="1:20">
      <c r="D52" s="1213"/>
      <c r="E52" s="1212"/>
      <c r="F52" s="1236" t="s">
        <v>318</v>
      </c>
      <c r="G52" s="1212">
        <f>G49-'SUM 2015'!G49</f>
        <v>-15.049999999999727</v>
      </c>
      <c r="H52" s="1213"/>
      <c r="I52" s="1214"/>
      <c r="J52" s="1234">
        <f>ROUNDUP((29*6600)+(E49*13.05),1)</f>
        <v>2665326.4</v>
      </c>
      <c r="K52" s="1214"/>
      <c r="L52" s="1232"/>
      <c r="M52" s="1213"/>
      <c r="N52" s="1197"/>
      <c r="O52" s="1197"/>
      <c r="P52" s="1212">
        <f>'SUM 2015'!G49-G49</f>
        <v>15.049999999999727</v>
      </c>
      <c r="Q52" s="1237">
        <f>P52/'SUM 2015'!G49</f>
        <v>6.1796068866687721E-3</v>
      </c>
      <c r="R52" s="1217"/>
      <c r="S52" s="1217"/>
      <c r="T52" s="793"/>
    </row>
    <row r="53" spans="1:20">
      <c r="D53" s="1213"/>
      <c r="E53" s="1212"/>
      <c r="F53" s="1236" t="s">
        <v>319</v>
      </c>
      <c r="G53" s="1238">
        <f>G52/'SUM 2015'!G49</f>
        <v>-6.1796068866687721E-3</v>
      </c>
      <c r="H53" s="1213"/>
      <c r="I53" s="1214"/>
      <c r="J53" s="1234">
        <f>J52-J49</f>
        <v>1.0000000707805157E-2</v>
      </c>
      <c r="K53" s="1239" t="s">
        <v>283</v>
      </c>
      <c r="L53" s="1232"/>
      <c r="M53" s="1213"/>
      <c r="N53" s="1217"/>
      <c r="O53" s="1197"/>
      <c r="P53" s="1212"/>
      <c r="Q53" s="1198"/>
      <c r="R53" s="1217"/>
      <c r="S53" s="1217"/>
      <c r="T53" s="793"/>
    </row>
    <row r="55" spans="1:20">
      <c r="M55" s="1300"/>
      <c r="N55" s="1110"/>
      <c r="S55" s="793"/>
      <c r="T55" s="793"/>
    </row>
    <row r="56" spans="1:20">
      <c r="M56" s="1109"/>
      <c r="N56" s="1110"/>
    </row>
    <row r="57" spans="1:20">
      <c r="M57" s="1109"/>
      <c r="N57" s="1110"/>
    </row>
    <row r="58" spans="1:20">
      <c r="M58" s="1109"/>
      <c r="N58" s="1110"/>
    </row>
    <row r="59" spans="1:20">
      <c r="M59" s="1109"/>
      <c r="N59" s="1110"/>
    </row>
    <row r="60" spans="1:20">
      <c r="M60" s="1109"/>
      <c r="N60" s="1110"/>
    </row>
    <row r="61" spans="1:20">
      <c r="M61" s="1109"/>
      <c r="N61" s="1110"/>
    </row>
  </sheetData>
  <mergeCells count="16">
    <mergeCell ref="O1:O2"/>
    <mergeCell ref="P1:P2"/>
    <mergeCell ref="Q1:Q2"/>
    <mergeCell ref="A49:C49"/>
    <mergeCell ref="H1:H2"/>
    <mergeCell ref="I1:I2"/>
    <mergeCell ref="J1:J2"/>
    <mergeCell ref="K1:K2"/>
    <mergeCell ref="M1:M2"/>
    <mergeCell ref="N1:N2"/>
    <mergeCell ref="A1:B2"/>
    <mergeCell ref="C1:C2"/>
    <mergeCell ref="D1:D2"/>
    <mergeCell ref="E1:E2"/>
    <mergeCell ref="F1:F2"/>
    <mergeCell ref="G1:G2"/>
  </mergeCells>
  <printOptions horizontalCentered="1" verticalCentered="1"/>
  <pageMargins left="0.5" right="0.5" top="1" bottom="0.75" header="0.75" footer="0.3"/>
  <pageSetup scale="31" orientation="portrait" r:id="rId1"/>
  <headerFooter>
    <oddHeader>&amp;C&amp;"Arial,Bold"&amp;14Summary of 2016 Annual Coal Production and Acres Bonded, Disturbed, and Mined</oddHeader>
    <oddFooter>&amp;R&amp;D</oddFooter>
  </headerFooter>
  <ignoredErrors>
    <ignoredError sqref="M14 H14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Y61"/>
  <sheetViews>
    <sheetView zoomScale="63" zoomScaleNormal="63" workbookViewId="0">
      <pane xSplit="3" ySplit="2" topLeftCell="D21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ColWidth="9.140625" defaultRowHeight="18.75"/>
  <cols>
    <col min="1" max="1" width="11.28515625" style="891" customWidth="1"/>
    <col min="2" max="2" width="2.42578125" style="891" customWidth="1"/>
    <col min="3" max="3" width="33.140625" style="891" customWidth="1"/>
    <col min="4" max="4" width="21.28515625" style="913" customWidth="1"/>
    <col min="5" max="5" width="16.140625" style="914" customWidth="1"/>
    <col min="6" max="6" width="15.7109375" style="914" customWidth="1"/>
    <col min="7" max="7" width="16.140625" style="914" customWidth="1"/>
    <col min="8" max="8" width="16.140625" style="913" customWidth="1"/>
    <col min="9" max="9" width="3.140625" style="920" customWidth="1"/>
    <col min="10" max="10" width="16.28515625" style="918" customWidth="1"/>
    <col min="11" max="11" width="2.85546875" style="920" customWidth="1"/>
    <col min="12" max="12" width="4.42578125" style="891" customWidth="1"/>
    <col min="13" max="13" width="21.42578125" style="913" customWidth="1"/>
    <col min="14" max="14" width="18" style="793" customWidth="1"/>
    <col min="15" max="15" width="14.85546875" style="912" bestFit="1" customWidth="1"/>
    <col min="16" max="16" width="17.7109375" style="914" customWidth="1"/>
    <col min="17" max="17" width="12.85546875" style="804" bestFit="1" customWidth="1"/>
    <col min="18" max="18" width="10.140625" style="793" customWidth="1"/>
    <col min="19" max="19" width="17.7109375" style="921" customWidth="1"/>
    <col min="20" max="20" width="6.42578125" style="921" customWidth="1"/>
    <col min="21" max="21" width="9.140625" style="793"/>
    <col min="22" max="22" width="9.7109375" style="793" bestFit="1" customWidth="1"/>
    <col min="23" max="23" width="9.140625" style="793"/>
    <col min="24" max="24" width="11.5703125" style="793" customWidth="1"/>
    <col min="25" max="16384" width="9.140625" style="793"/>
  </cols>
  <sheetData>
    <row r="1" spans="1:25" ht="18.75" customHeight="1">
      <c r="A1" s="1995" t="s">
        <v>6</v>
      </c>
      <c r="B1" s="1996"/>
      <c r="C1" s="1999" t="s">
        <v>162</v>
      </c>
      <c r="D1" s="2001" t="s">
        <v>347</v>
      </c>
      <c r="E1" s="2003" t="s">
        <v>289</v>
      </c>
      <c r="F1" s="2003" t="s">
        <v>187</v>
      </c>
      <c r="G1" s="2003" t="s">
        <v>288</v>
      </c>
      <c r="H1" s="1983" t="s">
        <v>238</v>
      </c>
      <c r="I1" s="1985" t="s">
        <v>184</v>
      </c>
      <c r="J1" s="2005" t="s">
        <v>350</v>
      </c>
      <c r="K1" s="1989" t="s">
        <v>184</v>
      </c>
      <c r="L1" s="792"/>
      <c r="M1" s="1991" t="s">
        <v>331</v>
      </c>
      <c r="N1" s="1993" t="s">
        <v>208</v>
      </c>
      <c r="O1" s="1979" t="s">
        <v>299</v>
      </c>
      <c r="P1" s="1980" t="s">
        <v>358</v>
      </c>
      <c r="Q1" s="1982"/>
    </row>
    <row r="2" spans="1:25" ht="19.5" customHeight="1" thickBot="1">
      <c r="A2" s="1997"/>
      <c r="B2" s="1998"/>
      <c r="C2" s="2000"/>
      <c r="D2" s="2002"/>
      <c r="E2" s="2004"/>
      <c r="F2" s="2004"/>
      <c r="G2" s="2004"/>
      <c r="H2" s="1984"/>
      <c r="I2" s="1986"/>
      <c r="J2" s="2006"/>
      <c r="K2" s="1990"/>
      <c r="L2" s="792"/>
      <c r="M2" s="1992"/>
      <c r="N2" s="1994"/>
      <c r="O2" s="1979"/>
      <c r="P2" s="1981"/>
      <c r="Q2" s="1982"/>
      <c r="S2" s="921" t="s">
        <v>320</v>
      </c>
    </row>
    <row r="3" spans="1:25">
      <c r="A3" s="794" t="s">
        <v>110</v>
      </c>
      <c r="B3" s="795"/>
      <c r="C3" s="796"/>
      <c r="D3" s="797"/>
      <c r="E3" s="798"/>
      <c r="F3" s="798"/>
      <c r="G3" s="798"/>
      <c r="H3" s="957"/>
      <c r="I3" s="1071"/>
      <c r="J3" s="1072"/>
      <c r="K3" s="1073"/>
      <c r="L3" s="802"/>
      <c r="M3" s="702">
        <f>'SUM2014'!D3</f>
        <v>0</v>
      </c>
      <c r="N3" s="702"/>
      <c r="P3" s="803"/>
    </row>
    <row r="4" spans="1:25">
      <c r="A4" s="805" t="s">
        <v>249</v>
      </c>
      <c r="B4" s="806"/>
      <c r="C4" s="931" t="s">
        <v>125</v>
      </c>
      <c r="D4" s="807">
        <v>0</v>
      </c>
      <c r="E4" s="808">
        <v>9205.2999999999993</v>
      </c>
      <c r="F4" s="808">
        <v>0</v>
      </c>
      <c r="G4" s="808">
        <v>0</v>
      </c>
      <c r="H4" s="958">
        <v>0</v>
      </c>
      <c r="I4" s="1074" t="s">
        <v>185</v>
      </c>
      <c r="J4" s="1278">
        <f>ROUND(6600+13.05*E4,2)</f>
        <v>126729.17</v>
      </c>
      <c r="K4" s="1076"/>
      <c r="L4" s="812"/>
      <c r="M4" s="813">
        <f>'SUM2014'!D4</f>
        <v>0</v>
      </c>
      <c r="N4" s="813">
        <f>D4-M4</f>
        <v>0</v>
      </c>
      <c r="O4" s="1059"/>
      <c r="P4" s="814">
        <v>9205.2999999999993</v>
      </c>
      <c r="Q4" s="804">
        <f>E4-P4</f>
        <v>0</v>
      </c>
      <c r="R4" s="879"/>
    </row>
    <row r="5" spans="1:25">
      <c r="A5" s="815" t="s">
        <v>246</v>
      </c>
      <c r="B5" s="816"/>
      <c r="C5" s="817"/>
      <c r="D5" s="818"/>
      <c r="E5" s="819"/>
      <c r="F5" s="819"/>
      <c r="G5" s="819"/>
      <c r="H5" s="959"/>
      <c r="I5" s="1077"/>
      <c r="J5" s="1078"/>
      <c r="K5" s="1079"/>
      <c r="L5" s="812"/>
      <c r="M5" s="824">
        <f>'SUM2014'!D5</f>
        <v>0</v>
      </c>
      <c r="N5" s="824"/>
      <c r="P5" s="825"/>
      <c r="R5" s="879"/>
    </row>
    <row r="6" spans="1:25">
      <c r="A6" s="805" t="s">
        <v>321</v>
      </c>
      <c r="B6" s="826"/>
      <c r="C6" s="931" t="s">
        <v>144</v>
      </c>
      <c r="D6" s="807">
        <v>652086</v>
      </c>
      <c r="E6" s="808">
        <v>6154.4</v>
      </c>
      <c r="F6" s="808">
        <v>381.5</v>
      </c>
      <c r="G6" s="808">
        <v>58.2</v>
      </c>
      <c r="H6" s="960">
        <f>D6/G6</f>
        <v>11204.226804123711</v>
      </c>
      <c r="I6" s="1074" t="s">
        <v>185</v>
      </c>
      <c r="J6" s="1279">
        <f>ROUND(6600+13.05*E6,2)</f>
        <v>86914.92</v>
      </c>
      <c r="K6" s="1076"/>
      <c r="L6" s="812"/>
      <c r="M6" s="813">
        <f>'SUM2014'!D6</f>
        <v>3000</v>
      </c>
      <c r="N6" s="813">
        <f>D6-M6</f>
        <v>649086</v>
      </c>
      <c r="O6" s="1005">
        <f>N6/M6</f>
        <v>216.36199999999999</v>
      </c>
      <c r="P6" s="814">
        <v>6145.4</v>
      </c>
      <c r="Q6" s="1064">
        <f>E6-P6</f>
        <v>9</v>
      </c>
      <c r="R6" s="879">
        <f>Q6*13.05</f>
        <v>117.45</v>
      </c>
      <c r="T6" s="1006"/>
      <c r="U6" s="925" t="s">
        <v>340</v>
      </c>
      <c r="Y6" s="793">
        <v>9</v>
      </c>
    </row>
    <row r="7" spans="1:25">
      <c r="A7" s="829" t="s">
        <v>147</v>
      </c>
      <c r="B7" s="830"/>
      <c r="C7" s="831"/>
      <c r="D7" s="832"/>
      <c r="E7" s="833"/>
      <c r="F7" s="833"/>
      <c r="G7" s="833"/>
      <c r="H7" s="961"/>
      <c r="I7" s="1081"/>
      <c r="J7" s="1082"/>
      <c r="K7" s="1083"/>
      <c r="L7" s="812"/>
      <c r="M7" s="710">
        <f>'SUM2014'!D7</f>
        <v>0</v>
      </c>
      <c r="N7" s="710"/>
      <c r="P7" s="837"/>
      <c r="R7" s="879"/>
      <c r="T7" s="1007"/>
      <c r="U7" s="925" t="s">
        <v>341</v>
      </c>
      <c r="Y7" s="793">
        <v>4</v>
      </c>
    </row>
    <row r="8" spans="1:25">
      <c r="A8" s="838" t="s">
        <v>223</v>
      </c>
      <c r="B8" s="839"/>
      <c r="C8" s="872" t="s">
        <v>127</v>
      </c>
      <c r="D8" s="820">
        <v>0</v>
      </c>
      <c r="E8" s="840">
        <v>2477.6999999999998</v>
      </c>
      <c r="F8" s="840">
        <v>0</v>
      </c>
      <c r="G8" s="840">
        <v>0</v>
      </c>
      <c r="H8" s="962">
        <v>0</v>
      </c>
      <c r="I8" s="1077" t="s">
        <v>185</v>
      </c>
      <c r="J8" s="1078">
        <f>ROUND(6600+13.05*E8,2)</f>
        <v>38933.99</v>
      </c>
      <c r="K8" s="1079"/>
      <c r="L8" s="812"/>
      <c r="M8" s="717">
        <f>'SUM2014'!D8</f>
        <v>0</v>
      </c>
      <c r="N8" s="717">
        <f>D8-M8</f>
        <v>0</v>
      </c>
      <c r="O8" s="1059"/>
      <c r="P8" s="842">
        <v>2477.6999999999998</v>
      </c>
      <c r="Q8" s="804">
        <f>E8-P8</f>
        <v>0</v>
      </c>
      <c r="R8" s="879"/>
      <c r="T8" s="1008"/>
      <c r="U8" s="925" t="s">
        <v>342</v>
      </c>
      <c r="Y8" s="793">
        <v>1</v>
      </c>
    </row>
    <row r="9" spans="1:25">
      <c r="A9" s="838" t="s">
        <v>224</v>
      </c>
      <c r="B9" s="839"/>
      <c r="C9" s="872" t="s">
        <v>128</v>
      </c>
      <c r="D9" s="820">
        <v>0</v>
      </c>
      <c r="E9" s="840">
        <v>615.9</v>
      </c>
      <c r="F9" s="840">
        <v>0</v>
      </c>
      <c r="G9" s="840">
        <v>0</v>
      </c>
      <c r="H9" s="959">
        <v>0</v>
      </c>
      <c r="I9" s="1077" t="s">
        <v>185</v>
      </c>
      <c r="J9" s="1078">
        <f>ROUND(6600+13.05*E9,2)</f>
        <v>14637.5</v>
      </c>
      <c r="K9" s="1079"/>
      <c r="L9" s="812"/>
      <c r="M9" s="717">
        <f>'SUM2014'!D9</f>
        <v>0</v>
      </c>
      <c r="N9" s="717">
        <f>D9-M9</f>
        <v>0</v>
      </c>
      <c r="O9" s="1059"/>
      <c r="P9" s="842">
        <v>615.9</v>
      </c>
      <c r="Q9" s="804">
        <f>E9-P9</f>
        <v>0</v>
      </c>
      <c r="R9" s="879"/>
      <c r="S9" s="1012" t="s">
        <v>345</v>
      </c>
      <c r="T9" s="1009"/>
      <c r="U9" s="925" t="s">
        <v>355</v>
      </c>
      <c r="Y9" s="793">
        <v>12</v>
      </c>
    </row>
    <row r="10" spans="1:25" ht="19.5" thickBot="1">
      <c r="A10" s="838" t="s">
        <v>291</v>
      </c>
      <c r="B10" s="839"/>
      <c r="C10" s="872" t="s">
        <v>177</v>
      </c>
      <c r="D10" s="843">
        <v>0</v>
      </c>
      <c r="E10" s="844">
        <v>531.9</v>
      </c>
      <c r="F10" s="844">
        <v>0</v>
      </c>
      <c r="G10" s="844">
        <v>0</v>
      </c>
      <c r="H10" s="963">
        <v>0</v>
      </c>
      <c r="I10" s="1084" t="s">
        <v>185</v>
      </c>
      <c r="J10" s="1085">
        <f>ROUND(6600+13.05*E10,2)</f>
        <v>13541.3</v>
      </c>
      <c r="K10" s="1086"/>
      <c r="L10" s="812"/>
      <c r="M10" s="849">
        <f>'SUM2014'!D10</f>
        <v>0</v>
      </c>
      <c r="N10" s="849">
        <f>D10-M10</f>
        <v>0</v>
      </c>
      <c r="O10" s="1059"/>
      <c r="P10" s="850">
        <v>531.9</v>
      </c>
      <c r="Q10" s="804">
        <f>E10-P10</f>
        <v>0</v>
      </c>
      <c r="R10" s="879"/>
      <c r="T10" s="1010"/>
      <c r="U10" s="925" t="s">
        <v>348</v>
      </c>
      <c r="Y10" s="793">
        <v>5</v>
      </c>
    </row>
    <row r="11" spans="1:25" s="860" customFormat="1" ht="19.5" thickTop="1">
      <c r="A11" s="851"/>
      <c r="B11" s="852"/>
      <c r="C11" s="853" t="s">
        <v>278</v>
      </c>
      <c r="D11" s="854">
        <f>SUM(D8:D10)</f>
        <v>0</v>
      </c>
      <c r="E11" s="855">
        <f>ROUND(SUM(E8:E10),1)</f>
        <v>3625.5</v>
      </c>
      <c r="F11" s="855">
        <f>SUM(F8:F10)</f>
        <v>0</v>
      </c>
      <c r="G11" s="855">
        <f>SUM(G8:G10)</f>
        <v>0</v>
      </c>
      <c r="H11" s="977">
        <f>SUM(H8:H10)</f>
        <v>0</v>
      </c>
      <c r="I11" s="1087" t="s">
        <v>185</v>
      </c>
      <c r="J11" s="1075">
        <f>SUM(J8:J10)</f>
        <v>67112.789999999994</v>
      </c>
      <c r="K11" s="1281"/>
      <c r="L11" s="812"/>
      <c r="M11" s="813">
        <f>'SUM2014'!D11</f>
        <v>0</v>
      </c>
      <c r="N11" s="813">
        <f>D11-M11</f>
        <v>0</v>
      </c>
      <c r="O11" s="912"/>
      <c r="P11" s="814">
        <f>SUM(P8:P10)</f>
        <v>3625.5</v>
      </c>
      <c r="Q11" s="804"/>
      <c r="R11" s="879"/>
      <c r="S11" s="921"/>
      <c r="T11" s="927"/>
    </row>
    <row r="12" spans="1:25">
      <c r="A12" s="815" t="s">
        <v>313</v>
      </c>
      <c r="B12" s="863"/>
      <c r="C12" s="864"/>
      <c r="D12" s="820"/>
      <c r="E12" s="840"/>
      <c r="F12" s="840"/>
      <c r="G12" s="840"/>
      <c r="H12" s="959"/>
      <c r="I12" s="1282"/>
      <c r="J12" s="1091"/>
      <c r="K12" s="1283"/>
      <c r="L12" s="812"/>
      <c r="M12" s="717">
        <f>'SUM2014'!D12</f>
        <v>0</v>
      </c>
      <c r="N12" s="717"/>
      <c r="P12" s="842"/>
      <c r="R12" s="879"/>
    </row>
    <row r="13" spans="1:25">
      <c r="A13" s="871">
        <v>57</v>
      </c>
      <c r="B13" s="863"/>
      <c r="C13" s="872" t="s">
        <v>314</v>
      </c>
      <c r="D13" s="820">
        <v>0</v>
      </c>
      <c r="E13" s="840">
        <v>80.8</v>
      </c>
      <c r="F13" s="983">
        <v>0</v>
      </c>
      <c r="G13" s="983">
        <v>0</v>
      </c>
      <c r="H13" s="959">
        <v>0</v>
      </c>
      <c r="I13" s="1282" t="s">
        <v>185</v>
      </c>
      <c r="J13" s="1091">
        <f>ROUND(6600+13.05*E13,2)</f>
        <v>7654.44</v>
      </c>
      <c r="K13" s="1283"/>
      <c r="L13" s="812"/>
      <c r="M13" s="717">
        <f>'SUM2014'!D13</f>
        <v>0</v>
      </c>
      <c r="N13" s="717">
        <f>D13-M13</f>
        <v>0</v>
      </c>
      <c r="O13" s="1061" t="s">
        <v>339</v>
      </c>
      <c r="P13" s="842">
        <v>80.8</v>
      </c>
      <c r="Q13" s="804">
        <f>E13-P13</f>
        <v>0</v>
      </c>
      <c r="R13" s="879"/>
    </row>
    <row r="14" spans="1:25" ht="19.5" thickBot="1">
      <c r="A14" s="871">
        <v>59</v>
      </c>
      <c r="B14" s="863"/>
      <c r="C14" s="872" t="s">
        <v>326</v>
      </c>
      <c r="D14" s="843">
        <v>210573</v>
      </c>
      <c r="E14" s="844">
        <v>970</v>
      </c>
      <c r="F14" s="984">
        <v>132.94</v>
      </c>
      <c r="G14" s="984">
        <v>46.75</v>
      </c>
      <c r="H14" s="966">
        <f>D14/G14</f>
        <v>4504.2352941176468</v>
      </c>
      <c r="I14" s="1084" t="s">
        <v>185</v>
      </c>
      <c r="J14" s="1093">
        <f>ROUND(6600+13.05*E14,2)</f>
        <v>19258.5</v>
      </c>
      <c r="K14" s="1086"/>
      <c r="L14" s="936"/>
      <c r="M14" s="889">
        <f>'SUM2014'!D14</f>
        <v>1952</v>
      </c>
      <c r="N14" s="849">
        <f>D14-M14</f>
        <v>208621</v>
      </c>
      <c r="O14" s="1105">
        <f>N14/M14</f>
        <v>106.87551229508196</v>
      </c>
      <c r="P14" s="850">
        <v>970</v>
      </c>
      <c r="Q14" s="804">
        <f>E14-P14</f>
        <v>0</v>
      </c>
      <c r="R14" s="879"/>
    </row>
    <row r="15" spans="1:25" ht="19.5" thickTop="1">
      <c r="A15" s="871"/>
      <c r="B15" s="863"/>
      <c r="C15" s="864" t="s">
        <v>325</v>
      </c>
      <c r="D15" s="870">
        <f>SUM(D13:D14)</f>
        <v>210573</v>
      </c>
      <c r="E15" s="885">
        <f>ROUND(SUM(E13:E14),1)</f>
        <v>1050.8</v>
      </c>
      <c r="F15" s="779">
        <f t="shared" ref="F15:G15" si="0">SUM(F13:F14)</f>
        <v>132.94</v>
      </c>
      <c r="G15" s="779">
        <f t="shared" si="0"/>
        <v>46.75</v>
      </c>
      <c r="H15" s="1111"/>
      <c r="I15" s="1256"/>
      <c r="J15" s="1095">
        <f>SUM(J13:J14)</f>
        <v>26912.94</v>
      </c>
      <c r="K15" s="1257"/>
      <c r="L15" s="812"/>
      <c r="M15" s="997">
        <f>'SUM2014'!D15</f>
        <v>1952</v>
      </c>
      <c r="N15" s="717">
        <f>SUM(N13:N14)</f>
        <v>208621</v>
      </c>
      <c r="P15" s="842">
        <f>SUM(P13:P14)</f>
        <v>1050.8</v>
      </c>
      <c r="R15" s="879"/>
    </row>
    <row r="16" spans="1:25">
      <c r="A16" s="829" t="s">
        <v>180</v>
      </c>
      <c r="B16" s="830"/>
      <c r="C16" s="831"/>
      <c r="D16" s="832"/>
      <c r="E16" s="833"/>
      <c r="F16" s="833"/>
      <c r="G16" s="833"/>
      <c r="H16" s="961"/>
      <c r="I16" s="1081"/>
      <c r="J16" s="1082"/>
      <c r="K16" s="1083"/>
      <c r="L16" s="812"/>
      <c r="M16" s="710">
        <f>'SUM2014'!D16</f>
        <v>0</v>
      </c>
      <c r="N16" s="710"/>
      <c r="P16" s="837"/>
      <c r="R16" s="879"/>
    </row>
    <row r="17" spans="1:24">
      <c r="A17" s="838" t="s">
        <v>227</v>
      </c>
      <c r="B17" s="839"/>
      <c r="C17" s="872" t="s">
        <v>132</v>
      </c>
      <c r="D17" s="820">
        <v>2745691</v>
      </c>
      <c r="E17" s="840">
        <v>13027.6</v>
      </c>
      <c r="F17" s="840">
        <v>66.900000000000006</v>
      </c>
      <c r="G17" s="840">
        <v>134.19999999999999</v>
      </c>
      <c r="H17" s="978">
        <f>D17/G17</f>
        <v>20459.694485842028</v>
      </c>
      <c r="I17" s="1077" t="s">
        <v>185</v>
      </c>
      <c r="J17" s="1078">
        <f>ROUND(6600+13.05*E17,2)</f>
        <v>176610.18</v>
      </c>
      <c r="K17" s="1079"/>
      <c r="L17" s="812"/>
      <c r="M17" s="717">
        <f>'SUM2014'!D17</f>
        <v>3423249</v>
      </c>
      <c r="N17" s="717">
        <f>D17-M17</f>
        <v>-677558</v>
      </c>
      <c r="O17" s="1011">
        <f>N17/M17</f>
        <v>-0.19792834234377926</v>
      </c>
      <c r="P17" s="842">
        <v>13027.6</v>
      </c>
      <c r="Q17" s="804">
        <f>E17-P17</f>
        <v>0</v>
      </c>
      <c r="R17" s="879"/>
    </row>
    <row r="18" spans="1:24" ht="19.5" thickBot="1">
      <c r="A18" s="838" t="s">
        <v>253</v>
      </c>
      <c r="B18" s="839"/>
      <c r="C18" s="872" t="s">
        <v>157</v>
      </c>
      <c r="D18" s="843">
        <v>607826</v>
      </c>
      <c r="E18" s="844">
        <v>5358.7</v>
      </c>
      <c r="F18" s="844">
        <v>27.7</v>
      </c>
      <c r="G18" s="844">
        <v>55.7</v>
      </c>
      <c r="H18" s="982">
        <f>D18/G18</f>
        <v>10912.495511669658</v>
      </c>
      <c r="I18" s="1096" t="s">
        <v>185</v>
      </c>
      <c r="J18" s="1085">
        <f>ROUND(6600+13.05*E18,2)</f>
        <v>76531.039999999994</v>
      </c>
      <c r="K18" s="1097"/>
      <c r="L18" s="812"/>
      <c r="M18" s="849">
        <f>'SUM2014'!D18</f>
        <v>1834491</v>
      </c>
      <c r="N18" s="849">
        <f>D18-M18</f>
        <v>-1226665</v>
      </c>
      <c r="O18" s="1011">
        <f>N18/M18</f>
        <v>-0.66866776669931882</v>
      </c>
      <c r="P18" s="850">
        <v>5358.7</v>
      </c>
      <c r="Q18" s="804">
        <f t="shared" ref="Q18:Q49" si="1">E18-P18</f>
        <v>0</v>
      </c>
      <c r="R18" s="879"/>
    </row>
    <row r="19" spans="1:24" s="860" customFormat="1" ht="19.5" thickTop="1">
      <c r="A19" s="851"/>
      <c r="B19" s="852"/>
      <c r="C19" s="853" t="s">
        <v>279</v>
      </c>
      <c r="D19" s="859">
        <f>SUM(D17:D18)</f>
        <v>3353517</v>
      </c>
      <c r="E19" s="861">
        <f>ROUND(SUM(E17:E18),2)</f>
        <v>18386.3</v>
      </c>
      <c r="F19" s="861">
        <f>SUM(F17:F18)</f>
        <v>94.600000000000009</v>
      </c>
      <c r="G19" s="861">
        <f>SUM(G17:G18)</f>
        <v>189.89999999999998</v>
      </c>
      <c r="H19" s="977"/>
      <c r="I19" s="1098" t="s">
        <v>185</v>
      </c>
      <c r="J19" s="1080">
        <f>SUM(J17:J18)</f>
        <v>253141.21999999997</v>
      </c>
      <c r="K19" s="1099"/>
      <c r="L19" s="812"/>
      <c r="M19" s="813">
        <f>'SUM2014'!D19</f>
        <v>5257740</v>
      </c>
      <c r="N19" s="813">
        <f>D19-M19</f>
        <v>-1904223</v>
      </c>
      <c r="O19" s="910">
        <f>N19/M19</f>
        <v>-0.36217519314382224</v>
      </c>
      <c r="P19" s="814">
        <f>SUM(P17:P18)</f>
        <v>18386.3</v>
      </c>
      <c r="Q19" s="804"/>
      <c r="R19" s="879"/>
      <c r="S19" s="921"/>
      <c r="T19" s="927"/>
    </row>
    <row r="20" spans="1:24">
      <c r="A20" s="829" t="s">
        <v>75</v>
      </c>
      <c r="B20" s="830"/>
      <c r="C20" s="831"/>
      <c r="D20" s="832"/>
      <c r="E20" s="833"/>
      <c r="F20" s="833"/>
      <c r="G20" s="833"/>
      <c r="H20" s="961"/>
      <c r="I20" s="1081"/>
      <c r="J20" s="1082"/>
      <c r="K20" s="1083"/>
      <c r="L20" s="812"/>
      <c r="M20" s="710">
        <f>'SUM2014'!D20</f>
        <v>0</v>
      </c>
      <c r="N20" s="710"/>
      <c r="O20" s="910"/>
      <c r="P20" s="837"/>
      <c r="R20" s="879"/>
    </row>
    <row r="21" spans="1:24">
      <c r="A21" s="838" t="s">
        <v>290</v>
      </c>
      <c r="B21" s="839"/>
      <c r="C21" s="872" t="s">
        <v>216</v>
      </c>
      <c r="D21" s="820">
        <v>2072130</v>
      </c>
      <c r="E21" s="840">
        <v>16527.900000000001</v>
      </c>
      <c r="F21" s="840">
        <v>308.8</v>
      </c>
      <c r="G21" s="840">
        <v>197</v>
      </c>
      <c r="H21" s="978">
        <f>D21/G21</f>
        <v>10518.426395939086</v>
      </c>
      <c r="I21" s="1077" t="s">
        <v>185</v>
      </c>
      <c r="J21" s="1078">
        <f>ROUND(6600+13.05*E21,2)</f>
        <v>222289.1</v>
      </c>
      <c r="K21" s="1079"/>
      <c r="L21" s="812"/>
      <c r="M21" s="717">
        <f>'SUM2014'!D21</f>
        <v>2903406</v>
      </c>
      <c r="N21" s="717">
        <f>D21-M21</f>
        <v>-831276</v>
      </c>
      <c r="O21" s="1011">
        <f>N21/M21</f>
        <v>-0.28631062965358617</v>
      </c>
      <c r="P21" s="842">
        <v>16527.900000000001</v>
      </c>
      <c r="Q21" s="804">
        <f t="shared" si="1"/>
        <v>0</v>
      </c>
      <c r="R21" s="879"/>
    </row>
    <row r="22" spans="1:24" ht="19.5" thickBot="1">
      <c r="A22" s="838">
        <v>55</v>
      </c>
      <c r="B22" s="839"/>
      <c r="C22" s="872" t="s">
        <v>293</v>
      </c>
      <c r="D22" s="843">
        <v>1568107</v>
      </c>
      <c r="E22" s="844">
        <v>6450</v>
      </c>
      <c r="F22" s="844">
        <v>1801</v>
      </c>
      <c r="G22" s="844">
        <v>147.5</v>
      </c>
      <c r="H22" s="982">
        <f>D22/G22</f>
        <v>10631.233898305085</v>
      </c>
      <c r="I22" s="1096" t="s">
        <v>185</v>
      </c>
      <c r="J22" s="1085">
        <f>ROUND(6600+13.05*E22,2)</f>
        <v>90772.5</v>
      </c>
      <c r="K22" s="1097"/>
      <c r="L22" s="812"/>
      <c r="M22" s="849">
        <f>'SUM2014'!D22</f>
        <v>1558027</v>
      </c>
      <c r="N22" s="849">
        <f>D22-M22</f>
        <v>10080</v>
      </c>
      <c r="O22" s="1005">
        <f>N22/M22</f>
        <v>6.4697209997002618E-3</v>
      </c>
      <c r="P22" s="850">
        <v>6450</v>
      </c>
      <c r="Q22" s="804">
        <f t="shared" si="1"/>
        <v>0</v>
      </c>
      <c r="R22" s="879"/>
      <c r="V22" s="793">
        <v>29</v>
      </c>
      <c r="W22" s="793" t="s">
        <v>351</v>
      </c>
    </row>
    <row r="23" spans="1:24" s="860" customFormat="1" ht="19.5" thickTop="1">
      <c r="A23" s="880"/>
      <c r="B23" s="881"/>
      <c r="C23" s="864" t="s">
        <v>294</v>
      </c>
      <c r="D23" s="717">
        <f>SUM(D21:D22)</f>
        <v>3640237</v>
      </c>
      <c r="E23" s="842">
        <f>ROUND(SUM(E21:E22),2)</f>
        <v>22977.9</v>
      </c>
      <c r="F23" s="842">
        <f>SUM(F21:F22)</f>
        <v>2109.8000000000002</v>
      </c>
      <c r="G23" s="842">
        <f>SUM(G21:G22)</f>
        <v>344.5</v>
      </c>
      <c r="H23" s="959"/>
      <c r="I23" s="1077" t="s">
        <v>185</v>
      </c>
      <c r="J23" s="1078">
        <f>SUM(J21:J22)</f>
        <v>313061.59999999998</v>
      </c>
      <c r="K23" s="1079"/>
      <c r="L23" s="812"/>
      <c r="M23" s="717">
        <f>'SUM2014'!D23</f>
        <v>4461433</v>
      </c>
      <c r="N23" s="717">
        <f>SUM(N21:N22)</f>
        <v>-821196</v>
      </c>
      <c r="O23" s="910">
        <f>N23/M23</f>
        <v>-0.18406552334193968</v>
      </c>
      <c r="P23" s="842">
        <f>SUM(P21:P22)</f>
        <v>22977.9</v>
      </c>
      <c r="Q23" s="804"/>
      <c r="R23" s="879"/>
      <c r="S23" s="921"/>
      <c r="T23" s="927"/>
      <c r="U23" s="1107" t="s">
        <v>360</v>
      </c>
      <c r="V23" s="1104">
        <v>9</v>
      </c>
      <c r="W23" s="793" t="s">
        <v>352</v>
      </c>
    </row>
    <row r="24" spans="1:24">
      <c r="A24" s="829" t="s">
        <v>338</v>
      </c>
      <c r="B24" s="830"/>
      <c r="C24" s="831"/>
      <c r="D24" s="832"/>
      <c r="E24" s="833"/>
      <c r="F24" s="833"/>
      <c r="G24" s="833"/>
      <c r="H24" s="961"/>
      <c r="I24" s="1081"/>
      <c r="J24" s="1082"/>
      <c r="K24" s="1083"/>
      <c r="L24" s="812"/>
      <c r="M24" s="710">
        <f>'SUM2014'!D24</f>
        <v>0</v>
      </c>
      <c r="N24" s="832"/>
      <c r="O24" s="910"/>
      <c r="P24" s="837"/>
      <c r="R24" s="879"/>
      <c r="U24" s="1108"/>
      <c r="V24" s="793">
        <f>V22-V23</f>
        <v>20</v>
      </c>
    </row>
    <row r="25" spans="1:24">
      <c r="A25" s="838" t="s">
        <v>322</v>
      </c>
      <c r="B25" s="839"/>
      <c r="C25" s="872" t="s">
        <v>151</v>
      </c>
      <c r="D25" s="820">
        <v>301299</v>
      </c>
      <c r="E25" s="840">
        <v>10389</v>
      </c>
      <c r="F25" s="983">
        <v>22.1</v>
      </c>
      <c r="G25" s="983">
        <v>31.8</v>
      </c>
      <c r="H25" s="978">
        <f>D25/G25</f>
        <v>9474.8113207547176</v>
      </c>
      <c r="I25" s="1077" t="s">
        <v>185</v>
      </c>
      <c r="J25" s="1078">
        <f>ROUND(6600+13.05*E25,2)</f>
        <v>142176.45000000001</v>
      </c>
      <c r="K25" s="1079"/>
      <c r="L25" s="812"/>
      <c r="M25" s="717">
        <f>'SUM2014'!D25</f>
        <v>457579</v>
      </c>
      <c r="N25" s="717">
        <f>D25-M25</f>
        <v>-156280</v>
      </c>
      <c r="O25" s="1011">
        <f>N25/M25</f>
        <v>-0.34153665268729555</v>
      </c>
      <c r="P25" s="842">
        <v>10389</v>
      </c>
      <c r="Q25" s="804">
        <f t="shared" si="1"/>
        <v>0</v>
      </c>
      <c r="R25" s="879"/>
      <c r="U25" s="1108" t="s">
        <v>360</v>
      </c>
      <c r="V25" s="1104">
        <v>9</v>
      </c>
      <c r="W25" s="793" t="s">
        <v>353</v>
      </c>
    </row>
    <row r="26" spans="1:24" ht="19.5" thickBot="1">
      <c r="A26" s="838" t="s">
        <v>323</v>
      </c>
      <c r="B26" s="839"/>
      <c r="C26" s="872" t="s">
        <v>244</v>
      </c>
      <c r="D26" s="843">
        <v>2256572</v>
      </c>
      <c r="E26" s="844">
        <v>2726.6</v>
      </c>
      <c r="F26" s="984">
        <v>205.7</v>
      </c>
      <c r="G26" s="984">
        <v>264.3</v>
      </c>
      <c r="H26" s="982">
        <f>D26/G26</f>
        <v>8537.9190314037078</v>
      </c>
      <c r="I26" s="1096" t="s">
        <v>185</v>
      </c>
      <c r="J26" s="1085">
        <f>ROUND(6600+13.05*E26,2)</f>
        <v>42182.13</v>
      </c>
      <c r="K26" s="1097"/>
      <c r="L26" s="812"/>
      <c r="M26" s="849">
        <f>'SUM2014'!D26</f>
        <v>1818292</v>
      </c>
      <c r="N26" s="849">
        <f>D26-M26</f>
        <v>438280</v>
      </c>
      <c r="O26" s="1058">
        <f>N26/M26</f>
        <v>0.24103939301278343</v>
      </c>
      <c r="P26" s="850">
        <v>2726.6</v>
      </c>
      <c r="Q26" s="804">
        <f t="shared" si="1"/>
        <v>0</v>
      </c>
      <c r="R26" s="879"/>
      <c r="U26" s="1108"/>
      <c r="V26" s="793">
        <f>V24-V25</f>
        <v>11</v>
      </c>
    </row>
    <row r="27" spans="1:24" s="860" customFormat="1" ht="19.5" thickTop="1">
      <c r="A27" s="880"/>
      <c r="B27" s="881"/>
      <c r="C27" s="864" t="s">
        <v>280</v>
      </c>
      <c r="D27" s="717">
        <f>SUM(D25:D26)</f>
        <v>2557871</v>
      </c>
      <c r="E27" s="842">
        <f>ROUND(SUM(E25:E26),2)</f>
        <v>13115.6</v>
      </c>
      <c r="F27" s="712">
        <f>SUM(F25:F26)</f>
        <v>227.79999999999998</v>
      </c>
      <c r="G27" s="712">
        <f>SUM(G25:G26)</f>
        <v>296.10000000000002</v>
      </c>
      <c r="H27" s="959"/>
      <c r="I27" s="1077" t="s">
        <v>185</v>
      </c>
      <c r="J27" s="1078">
        <f>SUM(J25:J26)</f>
        <v>184358.58000000002</v>
      </c>
      <c r="K27" s="1079"/>
      <c r="L27" s="812"/>
      <c r="M27" s="717">
        <f>'SUM2014'!D27</f>
        <v>2275871</v>
      </c>
      <c r="N27" s="717">
        <f>SUM(N25:N26)</f>
        <v>282000</v>
      </c>
      <c r="O27" s="910">
        <f>N27/M27</f>
        <v>0.12390860466168777</v>
      </c>
      <c r="P27" s="842">
        <f>SUM(P25:P26)</f>
        <v>13115.6</v>
      </c>
      <c r="Q27" s="804"/>
      <c r="R27" s="879"/>
      <c r="S27" s="921"/>
      <c r="T27" s="927"/>
      <c r="U27" s="1107" t="s">
        <v>360</v>
      </c>
      <c r="V27" s="1104">
        <v>8</v>
      </c>
      <c r="W27" s="793" t="s">
        <v>354</v>
      </c>
      <c r="X27" s="793"/>
    </row>
    <row r="28" spans="1:24">
      <c r="A28" s="829" t="s">
        <v>78</v>
      </c>
      <c r="B28" s="830"/>
      <c r="C28" s="831"/>
      <c r="D28" s="832"/>
      <c r="E28" s="833"/>
      <c r="F28" s="833"/>
      <c r="G28" s="833"/>
      <c r="H28" s="961"/>
      <c r="I28" s="1081"/>
      <c r="J28" s="1082"/>
      <c r="K28" s="1083"/>
      <c r="L28" s="812"/>
      <c r="M28" s="710">
        <f>'SUM2014'!D28</f>
        <v>0</v>
      </c>
      <c r="N28" s="710"/>
      <c r="O28" s="910"/>
      <c r="P28" s="837"/>
      <c r="R28" s="879"/>
      <c r="U28" s="1108"/>
      <c r="V28" s="793">
        <f>V26-V27</f>
        <v>3</v>
      </c>
    </row>
    <row r="29" spans="1:24">
      <c r="A29" s="838" t="s">
        <v>230</v>
      </c>
      <c r="B29" s="839"/>
      <c r="C29" s="872" t="s">
        <v>134</v>
      </c>
      <c r="D29" s="820">
        <v>0</v>
      </c>
      <c r="E29" s="840">
        <v>5116.6000000000004</v>
      </c>
      <c r="F29" s="840">
        <v>0</v>
      </c>
      <c r="G29" s="840">
        <v>0</v>
      </c>
      <c r="H29" s="959">
        <v>0</v>
      </c>
      <c r="I29" s="1077" t="s">
        <v>185</v>
      </c>
      <c r="J29" s="1078">
        <f>ROUND(6600+13.05*E29,2)</f>
        <v>73371.63</v>
      </c>
      <c r="K29" s="1079"/>
      <c r="L29" s="812"/>
      <c r="M29" s="717">
        <f>'SUM2014'!D29</f>
        <v>0</v>
      </c>
      <c r="N29" s="717">
        <f>D29-M29</f>
        <v>0</v>
      </c>
      <c r="O29" s="1000"/>
      <c r="P29" s="842">
        <v>5116.6000000000004</v>
      </c>
      <c r="Q29" s="804">
        <f t="shared" si="1"/>
        <v>0</v>
      </c>
      <c r="R29" s="879"/>
      <c r="S29" s="878"/>
      <c r="U29" s="1108" t="s">
        <v>360</v>
      </c>
      <c r="V29" s="1104">
        <v>1</v>
      </c>
      <c r="W29" s="793" t="s">
        <v>356</v>
      </c>
    </row>
    <row r="30" spans="1:24" ht="19.5" thickBot="1">
      <c r="A30" s="838" t="s">
        <v>231</v>
      </c>
      <c r="B30" s="839"/>
      <c r="C30" s="872" t="s">
        <v>178</v>
      </c>
      <c r="D30" s="843">
        <v>0</v>
      </c>
      <c r="E30" s="844">
        <v>1907.2</v>
      </c>
      <c r="F30" s="844">
        <v>0</v>
      </c>
      <c r="G30" s="844">
        <v>0</v>
      </c>
      <c r="H30" s="966">
        <v>0</v>
      </c>
      <c r="I30" s="1096" t="s">
        <v>185</v>
      </c>
      <c r="J30" s="1085">
        <f>ROUND(6600+13.05*E30,2)</f>
        <v>31488.959999999999</v>
      </c>
      <c r="K30" s="1097"/>
      <c r="L30" s="812"/>
      <c r="M30" s="849">
        <f>'SUM2014'!D30</f>
        <v>0</v>
      </c>
      <c r="N30" s="849">
        <f>D30-M30</f>
        <v>0</v>
      </c>
      <c r="O30" s="1000"/>
      <c r="P30" s="850">
        <v>1907.2</v>
      </c>
      <c r="Q30" s="804">
        <f t="shared" si="1"/>
        <v>0</v>
      </c>
      <c r="R30" s="879"/>
      <c r="S30" s="878"/>
      <c r="U30" s="1108"/>
      <c r="V30" s="793">
        <f>V28-V29</f>
        <v>2</v>
      </c>
    </row>
    <row r="31" spans="1:24" s="860" customFormat="1" ht="19.5" thickTop="1">
      <c r="A31" s="851"/>
      <c r="B31" s="852"/>
      <c r="C31" s="853" t="s">
        <v>281</v>
      </c>
      <c r="D31" s="813">
        <f>SUM(D29:D30)</f>
        <v>0</v>
      </c>
      <c r="E31" s="814">
        <f>ROUND(SUM(E29:E30),2)</f>
        <v>7023.8</v>
      </c>
      <c r="F31" s="814">
        <f>SUM(F29:F30)</f>
        <v>0</v>
      </c>
      <c r="G31" s="814">
        <f>SUM(G29:G30)</f>
        <v>0</v>
      </c>
      <c r="H31" s="958">
        <v>0</v>
      </c>
      <c r="I31" s="1280" t="s">
        <v>185</v>
      </c>
      <c r="J31" s="1284">
        <f>SUM(J29:J30)</f>
        <v>104860.59</v>
      </c>
      <c r="K31" s="1281"/>
      <c r="L31" s="812"/>
      <c r="M31" s="813">
        <f>'SUM2014'!D31</f>
        <v>0</v>
      </c>
      <c r="N31" s="813">
        <f>D31-M31</f>
        <v>0</v>
      </c>
      <c r="O31" s="910"/>
      <c r="P31" s="814">
        <f>SUM(P29:P30)</f>
        <v>7023.8</v>
      </c>
      <c r="Q31" s="804"/>
      <c r="R31" s="879"/>
      <c r="S31" s="921"/>
      <c r="T31" s="927"/>
      <c r="U31" s="1107" t="s">
        <v>360</v>
      </c>
      <c r="V31" s="1104">
        <v>2</v>
      </c>
      <c r="W31" s="793" t="s">
        <v>357</v>
      </c>
      <c r="X31" s="793"/>
    </row>
    <row r="32" spans="1:24">
      <c r="A32" s="829" t="s">
        <v>219</v>
      </c>
      <c r="B32" s="830"/>
      <c r="C32" s="831"/>
      <c r="D32" s="832"/>
      <c r="E32" s="833"/>
      <c r="F32" s="833"/>
      <c r="G32" s="833"/>
      <c r="H32" s="961"/>
      <c r="I32" s="1081"/>
      <c r="J32" s="1082"/>
      <c r="K32" s="1083"/>
      <c r="L32" s="812"/>
      <c r="M32" s="710">
        <f>'SUM2014'!D32</f>
        <v>0</v>
      </c>
      <c r="N32" s="710"/>
      <c r="O32" s="910"/>
      <c r="P32" s="837"/>
      <c r="R32" s="879"/>
      <c r="V32" s="793">
        <f>V30-V31</f>
        <v>0</v>
      </c>
    </row>
    <row r="33" spans="1:20">
      <c r="A33" s="838" t="s">
        <v>311</v>
      </c>
      <c r="B33" s="839"/>
      <c r="C33" s="872" t="s">
        <v>136</v>
      </c>
      <c r="D33" s="820">
        <v>0</v>
      </c>
      <c r="E33" s="840">
        <v>4364</v>
      </c>
      <c r="F33" s="840">
        <v>0</v>
      </c>
      <c r="G33" s="840">
        <v>0</v>
      </c>
      <c r="H33" s="959">
        <v>0</v>
      </c>
      <c r="I33" s="1077" t="s">
        <v>185</v>
      </c>
      <c r="J33" s="1078">
        <f t="shared" ref="J33:J45" si="2">ROUND(6600+13.05*E33,2)</f>
        <v>63550.2</v>
      </c>
      <c r="K33" s="1079"/>
      <c r="L33" s="812"/>
      <c r="M33" s="717">
        <f>'SUM2014'!D33</f>
        <v>0</v>
      </c>
      <c r="N33" s="717">
        <f t="shared" ref="N33:N46" si="3">D33-M33</f>
        <v>0</v>
      </c>
      <c r="O33" s="1000"/>
      <c r="P33" s="842">
        <v>4363.8</v>
      </c>
      <c r="Q33" s="1064">
        <f t="shared" si="1"/>
        <v>0.1999999999998181</v>
      </c>
      <c r="R33" s="879">
        <f t="shared" ref="R33:R36" si="4">13.05*Q33</f>
        <v>2.6099999999976262</v>
      </c>
    </row>
    <row r="34" spans="1:20">
      <c r="A34" s="838" t="s">
        <v>269</v>
      </c>
      <c r="B34" s="839"/>
      <c r="C34" s="872" t="s">
        <v>143</v>
      </c>
      <c r="D34" s="820">
        <v>3400533</v>
      </c>
      <c r="E34" s="840">
        <v>17221.8</v>
      </c>
      <c r="F34" s="840">
        <v>391.5</v>
      </c>
      <c r="G34" s="840">
        <v>169.9</v>
      </c>
      <c r="H34" s="978">
        <f>D34/G34</f>
        <v>20014.908769864625</v>
      </c>
      <c r="I34" s="1077" t="s">
        <v>185</v>
      </c>
      <c r="J34" s="1078">
        <f t="shared" si="2"/>
        <v>231344.49</v>
      </c>
      <c r="K34" s="1079"/>
      <c r="L34" s="812"/>
      <c r="M34" s="717">
        <f>'SUM2014'!D34</f>
        <v>4668476</v>
      </c>
      <c r="N34" s="717">
        <f t="shared" si="3"/>
        <v>-1267943</v>
      </c>
      <c r="O34" s="1011">
        <f>N34/M34</f>
        <v>-0.27159676948108974</v>
      </c>
      <c r="P34" s="842">
        <v>17221.8</v>
      </c>
      <c r="Q34" s="804">
        <f t="shared" si="1"/>
        <v>0</v>
      </c>
      <c r="R34" s="879"/>
    </row>
    <row r="35" spans="1:20">
      <c r="A35" s="838" t="s">
        <v>324</v>
      </c>
      <c r="B35" s="839"/>
      <c r="C35" s="872" t="s">
        <v>137</v>
      </c>
      <c r="D35" s="820">
        <v>2203582</v>
      </c>
      <c r="E35" s="840">
        <v>19759</v>
      </c>
      <c r="F35" s="840">
        <v>181</v>
      </c>
      <c r="G35" s="840">
        <v>230</v>
      </c>
      <c r="H35" s="978">
        <f>D35/G35</f>
        <v>9580.7913043478256</v>
      </c>
      <c r="I35" s="1077" t="s">
        <v>185</v>
      </c>
      <c r="J35" s="1078">
        <f t="shared" si="2"/>
        <v>264454.95</v>
      </c>
      <c r="K35" s="1079"/>
      <c r="L35" s="812"/>
      <c r="M35" s="717">
        <f>'SUM2014'!D35</f>
        <v>3082822</v>
      </c>
      <c r="N35" s="717">
        <f t="shared" si="3"/>
        <v>-879240</v>
      </c>
      <c r="O35" s="1011">
        <f>N35/M35</f>
        <v>-0.28520621690126774</v>
      </c>
      <c r="P35" s="842">
        <v>19759</v>
      </c>
      <c r="Q35" s="804">
        <f t="shared" si="1"/>
        <v>0</v>
      </c>
      <c r="R35" s="879"/>
    </row>
    <row r="36" spans="1:20">
      <c r="A36" s="838" t="s">
        <v>333</v>
      </c>
      <c r="B36" s="839"/>
      <c r="C36" s="872" t="s">
        <v>145</v>
      </c>
      <c r="D36" s="820">
        <v>52186</v>
      </c>
      <c r="E36" s="840">
        <v>13763.9</v>
      </c>
      <c r="F36" s="840">
        <v>0</v>
      </c>
      <c r="G36" s="840">
        <v>2.08</v>
      </c>
      <c r="H36" s="978">
        <f>D36/G36</f>
        <v>25089.423076923074</v>
      </c>
      <c r="I36" s="1077" t="s">
        <v>185</v>
      </c>
      <c r="J36" s="1078">
        <f t="shared" si="2"/>
        <v>186218.9</v>
      </c>
      <c r="K36" s="1079"/>
      <c r="L36" s="812"/>
      <c r="M36" s="717">
        <f>'SUM2014'!D36</f>
        <v>667328</v>
      </c>
      <c r="N36" s="717">
        <f t="shared" si="3"/>
        <v>-615142</v>
      </c>
      <c r="O36" s="1011">
        <f>N36/M36</f>
        <v>-0.92179857581279367</v>
      </c>
      <c r="P36" s="842">
        <v>13761.8</v>
      </c>
      <c r="Q36" s="1064">
        <f t="shared" si="1"/>
        <v>2.1000000000003638</v>
      </c>
      <c r="R36" s="879">
        <f t="shared" si="4"/>
        <v>27.405000000004748</v>
      </c>
    </row>
    <row r="37" spans="1:20">
      <c r="A37" s="838" t="s">
        <v>271</v>
      </c>
      <c r="B37" s="839"/>
      <c r="C37" s="872" t="s">
        <v>138</v>
      </c>
      <c r="D37" s="820">
        <v>0</v>
      </c>
      <c r="E37" s="840">
        <v>3147.1</v>
      </c>
      <c r="F37" s="840">
        <v>0</v>
      </c>
      <c r="G37" s="840">
        <v>0</v>
      </c>
      <c r="H37" s="978">
        <v>0</v>
      </c>
      <c r="I37" s="1077" t="s">
        <v>185</v>
      </c>
      <c r="J37" s="1078">
        <f t="shared" si="2"/>
        <v>47669.66</v>
      </c>
      <c r="K37" s="1079"/>
      <c r="L37" s="812"/>
      <c r="M37" s="717">
        <f>'SUM2014'!D37</f>
        <v>0</v>
      </c>
      <c r="N37" s="717">
        <f t="shared" si="3"/>
        <v>0</v>
      </c>
      <c r="O37" s="1000"/>
      <c r="P37" s="842">
        <v>3147</v>
      </c>
      <c r="Q37" s="1064">
        <f t="shared" si="1"/>
        <v>9.9999999999909051E-2</v>
      </c>
      <c r="R37" s="879">
        <f>13.05*Q37</f>
        <v>1.3049999999988131</v>
      </c>
    </row>
    <row r="38" spans="1:20">
      <c r="A38" s="838" t="s">
        <v>334</v>
      </c>
      <c r="B38" s="839"/>
      <c r="C38" s="872" t="s">
        <v>165</v>
      </c>
      <c r="D38" s="818">
        <v>6152589</v>
      </c>
      <c r="E38" s="819">
        <v>15269.1</v>
      </c>
      <c r="F38" s="819">
        <v>476.5</v>
      </c>
      <c r="G38" s="819">
        <v>216.2</v>
      </c>
      <c r="H38" s="985">
        <f t="shared" ref="H38:H40" si="5">D38/G38</f>
        <v>28457.85846438483</v>
      </c>
      <c r="I38" s="1077" t="s">
        <v>185</v>
      </c>
      <c r="J38" s="1078">
        <f t="shared" si="2"/>
        <v>205861.76000000001</v>
      </c>
      <c r="K38" s="1079"/>
      <c r="L38" s="812"/>
      <c r="M38" s="824">
        <f>'SUM2014'!D38</f>
        <v>7687665</v>
      </c>
      <c r="N38" s="717">
        <f t="shared" si="3"/>
        <v>-1535076</v>
      </c>
      <c r="O38" s="1005">
        <f>N38/M38</f>
        <v>-0.19968039710367191</v>
      </c>
      <c r="P38" s="825">
        <v>15269.1</v>
      </c>
      <c r="Q38" s="804">
        <f>E38-P38</f>
        <v>0</v>
      </c>
      <c r="R38" s="879"/>
    </row>
    <row r="39" spans="1:20">
      <c r="A39" s="838" t="s">
        <v>273</v>
      </c>
      <c r="B39" s="839"/>
      <c r="C39" s="872" t="s">
        <v>274</v>
      </c>
      <c r="D39" s="820">
        <v>0</v>
      </c>
      <c r="E39" s="840">
        <v>2483.9</v>
      </c>
      <c r="F39" s="840">
        <v>0</v>
      </c>
      <c r="G39" s="840">
        <v>0</v>
      </c>
      <c r="H39" s="985">
        <v>0</v>
      </c>
      <c r="I39" s="1077" t="s">
        <v>185</v>
      </c>
      <c r="J39" s="1078">
        <f t="shared" si="2"/>
        <v>39014.9</v>
      </c>
      <c r="K39" s="1079"/>
      <c r="L39" s="812"/>
      <c r="M39" s="717">
        <f>'SUM2014'!D39</f>
        <v>0</v>
      </c>
      <c r="N39" s="717">
        <f t="shared" si="3"/>
        <v>0</v>
      </c>
      <c r="O39" s="910"/>
      <c r="P39" s="842">
        <v>2483.9</v>
      </c>
      <c r="Q39" s="804">
        <f t="shared" si="1"/>
        <v>0</v>
      </c>
      <c r="R39" s="879"/>
    </row>
    <row r="40" spans="1:20">
      <c r="A40" s="838" t="s">
        <v>296</v>
      </c>
      <c r="B40" s="839"/>
      <c r="C40" s="872" t="s">
        <v>217</v>
      </c>
      <c r="D40" s="820">
        <v>8424747</v>
      </c>
      <c r="E40" s="840">
        <v>10495</v>
      </c>
      <c r="F40" s="840">
        <v>266.7</v>
      </c>
      <c r="G40" s="840">
        <v>507.5</v>
      </c>
      <c r="H40" s="985">
        <f t="shared" si="5"/>
        <v>16600.48669950739</v>
      </c>
      <c r="I40" s="1077" t="s">
        <v>185</v>
      </c>
      <c r="J40" s="1078">
        <f t="shared" si="2"/>
        <v>143559.75</v>
      </c>
      <c r="K40" s="1079"/>
      <c r="L40" s="812"/>
      <c r="M40" s="717">
        <f>'SUM2014'!D40</f>
        <v>9205367</v>
      </c>
      <c r="N40" s="717">
        <f t="shared" si="3"/>
        <v>-780620</v>
      </c>
      <c r="O40" s="1005">
        <f>N40/M40</f>
        <v>-8.4800529951711862E-2</v>
      </c>
      <c r="P40" s="842">
        <v>10495</v>
      </c>
      <c r="Q40" s="804">
        <f t="shared" si="1"/>
        <v>0</v>
      </c>
      <c r="R40" s="879"/>
    </row>
    <row r="41" spans="1:20">
      <c r="A41" s="838">
        <v>51</v>
      </c>
      <c r="B41" s="839"/>
      <c r="C41" s="872" t="s">
        <v>242</v>
      </c>
      <c r="D41" s="820">
        <v>0</v>
      </c>
      <c r="E41" s="840">
        <v>4314.3999999999996</v>
      </c>
      <c r="F41" s="840">
        <v>0</v>
      </c>
      <c r="G41" s="840">
        <v>0</v>
      </c>
      <c r="H41" s="962">
        <v>0</v>
      </c>
      <c r="I41" s="1077" t="s">
        <v>185</v>
      </c>
      <c r="J41" s="1078">
        <f t="shared" si="2"/>
        <v>62902.92</v>
      </c>
      <c r="K41" s="1079"/>
      <c r="L41" s="812"/>
      <c r="M41" s="717">
        <f>'SUM2014'!D41</f>
        <v>0</v>
      </c>
      <c r="N41" s="717">
        <f t="shared" si="3"/>
        <v>0</v>
      </c>
      <c r="O41" s="910"/>
      <c r="P41" s="842">
        <v>4314.3999999999996</v>
      </c>
      <c r="Q41" s="804">
        <f t="shared" si="1"/>
        <v>0</v>
      </c>
      <c r="R41" s="879"/>
    </row>
    <row r="42" spans="1:20">
      <c r="A42" s="838">
        <v>53</v>
      </c>
      <c r="B42" s="839"/>
      <c r="C42" s="872" t="s">
        <v>250</v>
      </c>
      <c r="D42" s="820">
        <v>0</v>
      </c>
      <c r="E42" s="840">
        <v>2308</v>
      </c>
      <c r="F42" s="840">
        <v>0</v>
      </c>
      <c r="G42" s="840">
        <v>0</v>
      </c>
      <c r="H42" s="962">
        <v>0</v>
      </c>
      <c r="I42" s="1077" t="s">
        <v>185</v>
      </c>
      <c r="J42" s="1078">
        <f t="shared" si="2"/>
        <v>36719.4</v>
      </c>
      <c r="K42" s="1079"/>
      <c r="L42" s="812"/>
      <c r="M42" s="717">
        <f>'SUM2014'!D42</f>
        <v>0</v>
      </c>
      <c r="N42" s="717">
        <f t="shared" si="3"/>
        <v>0</v>
      </c>
      <c r="O42" s="1000"/>
      <c r="P42" s="842">
        <v>2308</v>
      </c>
      <c r="Q42" s="804">
        <f>E42-P42</f>
        <v>0</v>
      </c>
      <c r="R42" s="879"/>
    </row>
    <row r="43" spans="1:20">
      <c r="A43" s="838" t="s">
        <v>346</v>
      </c>
      <c r="B43" s="839"/>
      <c r="C43" s="872" t="s">
        <v>275</v>
      </c>
      <c r="D43" s="820">
        <v>1395817</v>
      </c>
      <c r="E43" s="840">
        <v>4048.1</v>
      </c>
      <c r="F43" s="840">
        <v>38.9</v>
      </c>
      <c r="G43" s="840">
        <v>66.2</v>
      </c>
      <c r="H43" s="985">
        <f t="shared" ref="H43" si="6">D43/G43</f>
        <v>21084.848942598186</v>
      </c>
      <c r="I43" s="1077" t="s">
        <v>185</v>
      </c>
      <c r="J43" s="1078">
        <f t="shared" si="2"/>
        <v>59427.71</v>
      </c>
      <c r="K43" s="1079"/>
      <c r="L43" s="812"/>
      <c r="M43" s="717">
        <f>'SUM2014'!D43</f>
        <v>3583071</v>
      </c>
      <c r="N43" s="717">
        <f t="shared" si="3"/>
        <v>-2187254</v>
      </c>
      <c r="O43" s="1011">
        <f>N43/M43</f>
        <v>-0.61044115508735386</v>
      </c>
      <c r="P43" s="842">
        <v>4048.1</v>
      </c>
      <c r="Q43" s="804">
        <f t="shared" ref="Q43:Q44" si="7">E43-P43</f>
        <v>0</v>
      </c>
      <c r="R43" s="879"/>
    </row>
    <row r="44" spans="1:20">
      <c r="A44" s="926">
        <v>56</v>
      </c>
      <c r="C44" s="929" t="s">
        <v>309</v>
      </c>
      <c r="D44" s="928">
        <v>579854</v>
      </c>
      <c r="E44" s="892">
        <v>278.89999999999998</v>
      </c>
      <c r="F44" s="892">
        <v>0</v>
      </c>
      <c r="G44" s="892">
        <v>37.4</v>
      </c>
      <c r="H44" s="985">
        <v>0</v>
      </c>
      <c r="I44" s="1102" t="s">
        <v>185</v>
      </c>
      <c r="J44" s="1078">
        <f t="shared" si="2"/>
        <v>10239.65</v>
      </c>
      <c r="K44" s="1103"/>
      <c r="M44" s="928">
        <f>'SUM2014'!D44</f>
        <v>153239</v>
      </c>
      <c r="N44" s="717">
        <f t="shared" si="3"/>
        <v>426615</v>
      </c>
      <c r="O44" s="1005">
        <f t="shared" ref="O44:O45" si="8">N44/M44</f>
        <v>2.7839844948087626</v>
      </c>
      <c r="P44" s="892">
        <v>278.89999999999998</v>
      </c>
      <c r="Q44" s="804">
        <f t="shared" si="7"/>
        <v>0</v>
      </c>
      <c r="R44" s="879"/>
    </row>
    <row r="45" spans="1:20" ht="19.5" thickBot="1">
      <c r="A45" s="838">
        <v>58</v>
      </c>
      <c r="B45" s="839"/>
      <c r="C45" s="872" t="s">
        <v>310</v>
      </c>
      <c r="D45" s="820">
        <v>1573950</v>
      </c>
      <c r="E45" s="840">
        <v>3425</v>
      </c>
      <c r="F45" s="840">
        <v>345.7</v>
      </c>
      <c r="G45" s="844">
        <v>142.5</v>
      </c>
      <c r="H45" s="986">
        <f>D45/G45</f>
        <v>11045.263157894737</v>
      </c>
      <c r="I45" s="1096" t="s">
        <v>185</v>
      </c>
      <c r="J45" s="1085">
        <f t="shared" si="2"/>
        <v>51296.25</v>
      </c>
      <c r="K45" s="1097"/>
      <c r="L45" s="812"/>
      <c r="M45" s="717">
        <f>'SUM2014'!D45</f>
        <v>627082</v>
      </c>
      <c r="N45" s="717">
        <f t="shared" si="3"/>
        <v>946868</v>
      </c>
      <c r="O45" s="1005">
        <f t="shared" si="8"/>
        <v>1.5099588251616216</v>
      </c>
      <c r="P45" s="850">
        <v>3425</v>
      </c>
      <c r="Q45" s="804">
        <f t="shared" si="1"/>
        <v>0</v>
      </c>
      <c r="R45" s="879"/>
    </row>
    <row r="46" spans="1:20" s="860" customFormat="1" ht="19.5" thickTop="1">
      <c r="A46" s="851"/>
      <c r="B46" s="852"/>
      <c r="C46" s="853" t="s">
        <v>282</v>
      </c>
      <c r="D46" s="997">
        <f>SUM(D33:D45)</f>
        <v>23783258</v>
      </c>
      <c r="E46" s="1285">
        <f>ROUND(SUM(E33:E45),2)</f>
        <v>100878.2</v>
      </c>
      <c r="F46" s="1285">
        <f>SUM(F33:F45)</f>
        <v>1700.3000000000002</v>
      </c>
      <c r="G46" s="814">
        <f>SUM(G33:G45)</f>
        <v>1371.78</v>
      </c>
      <c r="H46" s="958"/>
      <c r="I46" s="1280" t="s">
        <v>185</v>
      </c>
      <c r="J46" s="1278">
        <f>SUM(J33:J45)</f>
        <v>1402260.5399999998</v>
      </c>
      <c r="K46" s="1281"/>
      <c r="L46" s="812"/>
      <c r="M46" s="997">
        <f>'SUM2014'!D46</f>
        <v>29675050</v>
      </c>
      <c r="N46" s="997">
        <f t="shared" si="3"/>
        <v>-5891792</v>
      </c>
      <c r="O46" s="910">
        <f>N46/M46</f>
        <v>-0.19854362503180281</v>
      </c>
      <c r="P46" s="1285">
        <f>SUM(P33:P45)</f>
        <v>100875.79999999999</v>
      </c>
      <c r="Q46" s="804"/>
      <c r="R46" s="879">
        <f>SUM(R33:R45)</f>
        <v>31.320000000001187</v>
      </c>
      <c r="S46" s="921"/>
      <c r="T46" s="927"/>
    </row>
    <row r="47" spans="1:20">
      <c r="A47" s="829" t="s">
        <v>86</v>
      </c>
      <c r="B47" s="830"/>
      <c r="C47" s="831"/>
      <c r="D47" s="820"/>
      <c r="E47" s="840"/>
      <c r="F47" s="840"/>
      <c r="G47" s="833"/>
      <c r="H47" s="961"/>
      <c r="I47" s="1081"/>
      <c r="J47" s="1082"/>
      <c r="K47" s="1083"/>
      <c r="L47" s="812"/>
      <c r="M47" s="717">
        <f>'SUM2014'!D47</f>
        <v>0</v>
      </c>
      <c r="N47" s="717"/>
      <c r="O47" s="910"/>
      <c r="P47" s="837"/>
      <c r="R47" s="879"/>
      <c r="S47" s="1106">
        <f>SUM(R4:R45)</f>
        <v>148.77000000000118</v>
      </c>
      <c r="T47" s="921" t="s">
        <v>359</v>
      </c>
    </row>
    <row r="48" spans="1:20" ht="19.5" thickBot="1">
      <c r="A48" s="901" t="s">
        <v>252</v>
      </c>
      <c r="B48" s="902"/>
      <c r="C48" s="930" t="s">
        <v>139</v>
      </c>
      <c r="D48" s="843">
        <v>2079570</v>
      </c>
      <c r="E48" s="844">
        <v>6219</v>
      </c>
      <c r="F48" s="844">
        <v>137.69999999999999</v>
      </c>
      <c r="G48" s="844">
        <v>128.19999999999999</v>
      </c>
      <c r="H48" s="982">
        <f>D48/G48</f>
        <v>16221.294851794073</v>
      </c>
      <c r="I48" s="1096" t="s">
        <v>185</v>
      </c>
      <c r="J48" s="1085">
        <f>ROUND(6600+13.05*E48,2)</f>
        <v>87757.95</v>
      </c>
      <c r="K48" s="1097"/>
      <c r="L48" s="812"/>
      <c r="M48" s="849">
        <f>'SUM2014'!D48</f>
        <v>1958835</v>
      </c>
      <c r="N48" s="849">
        <f>D48-M48</f>
        <v>120735</v>
      </c>
      <c r="O48" s="1005">
        <f>N48/M48</f>
        <v>6.1636125554219726E-2</v>
      </c>
      <c r="P48" s="850">
        <v>6219</v>
      </c>
      <c r="Q48" s="804">
        <f t="shared" si="1"/>
        <v>0</v>
      </c>
      <c r="R48" s="879"/>
    </row>
    <row r="49" spans="1:20" ht="20.25" thickTop="1" thickBot="1">
      <c r="A49" s="1942" t="s">
        <v>44</v>
      </c>
      <c r="B49" s="1943"/>
      <c r="C49" s="1944"/>
      <c r="D49" s="975">
        <f>SUM(D4,D6,D11,D15,D19,D23,D27,D31,D46,D48)</f>
        <v>36277112</v>
      </c>
      <c r="E49" s="911">
        <f>SUM(E4,E6,E11,E15,E19,E23,E27,E31,E46,E48)</f>
        <v>188636.79999999999</v>
      </c>
      <c r="F49" s="911">
        <f>SUM(F4,F6,F11,F15,F19,F23,F27,F31,F46,F48)</f>
        <v>4784.6400000000003</v>
      </c>
      <c r="G49" s="911">
        <f>SUM(G4,G6,G11,G15,G19,G23,G27,G31,G46,G48)</f>
        <v>2435.4299999999998</v>
      </c>
      <c r="H49" s="976">
        <f>D49/G49</f>
        <v>14895.567517851057</v>
      </c>
      <c r="I49" s="906" t="s">
        <v>185</v>
      </c>
      <c r="J49" s="981">
        <f>SUM(J4,J6,J11,J15,J19,J23,J27,J31,J46,J48)</f>
        <v>2653110.2999999998</v>
      </c>
      <c r="K49" s="1287"/>
      <c r="M49" s="1286">
        <f>'SUM2014'!D49</f>
        <v>43633881</v>
      </c>
      <c r="N49" s="1288">
        <f>D49-M49</f>
        <v>-7356769</v>
      </c>
      <c r="O49" s="1063">
        <f>N49/M49</f>
        <v>-0.16860221532895503</v>
      </c>
      <c r="P49" s="1289">
        <f>SUM(P4,P6,P11,P15,,P19,P23,P27,P31,P46,P48)</f>
        <v>188625.4</v>
      </c>
      <c r="Q49" s="804">
        <f t="shared" si="1"/>
        <v>11.399999999994179</v>
      </c>
      <c r="R49" s="912">
        <f>Q49/P49</f>
        <v>6.0437247581684013E-5</v>
      </c>
      <c r="S49" s="793"/>
      <c r="T49" s="793"/>
    </row>
    <row r="50" spans="1:20">
      <c r="O50" s="1062"/>
      <c r="S50" s="793"/>
      <c r="T50" s="793"/>
    </row>
    <row r="51" spans="1:20">
      <c r="N51" s="921"/>
      <c r="S51" s="793"/>
      <c r="T51" s="793"/>
    </row>
    <row r="52" spans="1:20">
      <c r="F52" s="922" t="s">
        <v>318</v>
      </c>
      <c r="G52" s="914">
        <f>G49-'SUM2014'!G49</f>
        <v>-216.2800000000002</v>
      </c>
      <c r="J52" s="918">
        <f>ROUNDUP((29*6600)+(E49*13.05),1)</f>
        <v>2653110.3000000003</v>
      </c>
      <c r="N52" s="912"/>
      <c r="P52" s="914">
        <f>G49-'SUM2014'!G49</f>
        <v>-216.2800000000002</v>
      </c>
      <c r="Q52" s="1070">
        <f>P52/'SUM2014'!G49</f>
        <v>-8.156246346697045E-2</v>
      </c>
      <c r="S52" s="793"/>
      <c r="T52" s="793"/>
    </row>
    <row r="53" spans="1:20">
      <c r="F53" s="922" t="s">
        <v>319</v>
      </c>
      <c r="G53" s="923">
        <f>G52/'SUM2014'!G49</f>
        <v>-8.156246346697045E-2</v>
      </c>
      <c r="J53" s="918">
        <f>J52-J49</f>
        <v>0</v>
      </c>
      <c r="K53" s="924" t="s">
        <v>283</v>
      </c>
      <c r="S53" s="793"/>
      <c r="T53" s="793"/>
    </row>
    <row r="55" spans="1:20">
      <c r="M55" s="1109"/>
      <c r="N55" s="1110"/>
      <c r="S55" s="793"/>
      <c r="T55" s="793"/>
    </row>
    <row r="56" spans="1:20">
      <c r="M56" s="1109"/>
      <c r="N56" s="1110"/>
    </row>
    <row r="57" spans="1:20">
      <c r="M57" s="1109"/>
      <c r="N57" s="1110"/>
    </row>
    <row r="58" spans="1:20">
      <c r="M58" s="1109"/>
      <c r="N58" s="1110"/>
    </row>
    <row r="59" spans="1:20">
      <c r="M59" s="1109"/>
      <c r="N59" s="1110"/>
    </row>
    <row r="60" spans="1:20">
      <c r="M60" s="1109"/>
      <c r="N60" s="1110"/>
    </row>
    <row r="61" spans="1:20">
      <c r="M61" s="1109"/>
      <c r="N61" s="1110"/>
    </row>
  </sheetData>
  <mergeCells count="16">
    <mergeCell ref="O1:O2"/>
    <mergeCell ref="P1:P2"/>
    <mergeCell ref="Q1:Q2"/>
    <mergeCell ref="A49:C49"/>
    <mergeCell ref="H1:H2"/>
    <mergeCell ref="I1:I2"/>
    <mergeCell ref="J1:J2"/>
    <mergeCell ref="K1:K2"/>
    <mergeCell ref="M1:M2"/>
    <mergeCell ref="N1:N2"/>
    <mergeCell ref="A1:B2"/>
    <mergeCell ref="C1:C2"/>
    <mergeCell ref="D1:D2"/>
    <mergeCell ref="E1:E2"/>
    <mergeCell ref="F1:F2"/>
    <mergeCell ref="G1:G2"/>
  </mergeCells>
  <pageMargins left="0.8" right="0.7" top="1.25" bottom="0.75" header="0.8" footer="0.3"/>
  <pageSetup scale="58" orientation="portrait" r:id="rId1"/>
  <headerFooter>
    <oddHeader>&amp;C&amp;"Arial,Bold"&amp;14Summary of 2015 Annual Coal Production and Acres Bonded, Disturbed and Mined</oddHeader>
    <oddFooter>&amp;L&amp;D</oddFooter>
  </headerFooter>
  <ignoredErrors>
    <ignoredError sqref="H6 F11 H14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55"/>
  <sheetViews>
    <sheetView zoomScale="60" zoomScaleNormal="60" workbookViewId="0">
      <pane xSplit="3" ySplit="2" topLeftCell="D3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ColWidth="9.140625" defaultRowHeight="18.75"/>
  <cols>
    <col min="1" max="1" width="11.28515625" style="891" customWidth="1"/>
    <col min="2" max="2" width="2.42578125" style="891" customWidth="1"/>
    <col min="3" max="3" width="33.140625" style="891" customWidth="1"/>
    <col min="4" max="4" width="21.28515625" style="913" customWidth="1"/>
    <col min="5" max="5" width="16.140625" style="914" customWidth="1"/>
    <col min="6" max="6" width="15.7109375" style="914" customWidth="1"/>
    <col min="7" max="7" width="16.140625" style="914" customWidth="1"/>
    <col min="8" max="8" width="16.140625" style="913" customWidth="1"/>
    <col min="9" max="9" width="3.140625" style="920" customWidth="1"/>
    <col min="10" max="10" width="17.85546875" style="918" customWidth="1"/>
    <col min="11" max="11" width="4" style="920" customWidth="1"/>
    <col min="12" max="12" width="4.42578125" style="891" customWidth="1"/>
    <col min="13" max="13" width="20" style="913" customWidth="1"/>
    <col min="14" max="14" width="18" style="793" customWidth="1"/>
    <col min="15" max="15" width="14.85546875" style="793" bestFit="1" customWidth="1"/>
    <col min="16" max="16" width="17.7109375" style="914" customWidth="1"/>
    <col min="17" max="17" width="12.85546875" style="804" bestFit="1" customWidth="1"/>
    <col min="18" max="18" width="15" style="793" customWidth="1"/>
    <col min="19" max="19" width="21" style="921" bestFit="1" customWidth="1"/>
    <col min="20" max="20" width="16" style="921" bestFit="1" customWidth="1"/>
    <col min="21" max="23" width="9.140625" style="793"/>
    <col min="24" max="24" width="11.5703125" style="793" customWidth="1"/>
    <col min="25" max="16384" width="9.140625" style="793"/>
  </cols>
  <sheetData>
    <row r="1" spans="1:25" ht="18.75" customHeight="1">
      <c r="A1" s="1995" t="s">
        <v>6</v>
      </c>
      <c r="B1" s="1996"/>
      <c r="C1" s="1999" t="s">
        <v>162</v>
      </c>
      <c r="D1" s="2001" t="s">
        <v>331</v>
      </c>
      <c r="E1" s="2003" t="s">
        <v>289</v>
      </c>
      <c r="F1" s="2003" t="s">
        <v>187</v>
      </c>
      <c r="G1" s="2003" t="s">
        <v>288</v>
      </c>
      <c r="H1" s="1983" t="s">
        <v>238</v>
      </c>
      <c r="I1" s="1985" t="s">
        <v>184</v>
      </c>
      <c r="J1" s="2005" t="s">
        <v>164</v>
      </c>
      <c r="K1" s="1989" t="s">
        <v>184</v>
      </c>
      <c r="L1" s="792"/>
      <c r="M1" s="1991" t="s">
        <v>327</v>
      </c>
      <c r="N1" s="1993" t="s">
        <v>208</v>
      </c>
      <c r="O1" s="2007" t="s">
        <v>299</v>
      </c>
      <c r="P1" s="1980" t="s">
        <v>332</v>
      </c>
      <c r="Q1" s="1982"/>
    </row>
    <row r="2" spans="1:25" ht="19.5" customHeight="1" thickBot="1">
      <c r="A2" s="1997"/>
      <c r="B2" s="1998"/>
      <c r="C2" s="2000"/>
      <c r="D2" s="2002"/>
      <c r="E2" s="2004"/>
      <c r="F2" s="2004"/>
      <c r="G2" s="2004"/>
      <c r="H2" s="1984"/>
      <c r="I2" s="1986"/>
      <c r="J2" s="2006"/>
      <c r="K2" s="1990"/>
      <c r="L2" s="792"/>
      <c r="M2" s="1992"/>
      <c r="N2" s="1994"/>
      <c r="O2" s="2007"/>
      <c r="P2" s="1981"/>
      <c r="Q2" s="1982"/>
      <c r="S2" s="921" t="s">
        <v>320</v>
      </c>
    </row>
    <row r="3" spans="1:25">
      <c r="A3" s="794" t="s">
        <v>110</v>
      </c>
      <c r="B3" s="795"/>
      <c r="C3" s="796"/>
      <c r="D3" s="797"/>
      <c r="E3" s="798"/>
      <c r="F3" s="798"/>
      <c r="G3" s="798"/>
      <c r="H3" s="957"/>
      <c r="I3" s="799"/>
      <c r="J3" s="800"/>
      <c r="K3" s="801"/>
      <c r="L3" s="802"/>
      <c r="M3" s="797"/>
      <c r="N3" s="702"/>
      <c r="P3" s="803"/>
    </row>
    <row r="4" spans="1:25">
      <c r="A4" s="805" t="s">
        <v>249</v>
      </c>
      <c r="B4" s="806"/>
      <c r="C4" s="931" t="s">
        <v>125</v>
      </c>
      <c r="D4" s="807">
        <v>0</v>
      </c>
      <c r="E4" s="808">
        <v>9182.5</v>
      </c>
      <c r="F4" s="808">
        <v>0</v>
      </c>
      <c r="G4" s="808">
        <v>0</v>
      </c>
      <c r="H4" s="958">
        <v>0</v>
      </c>
      <c r="I4" s="809" t="s">
        <v>185</v>
      </c>
      <c r="J4" s="783">
        <f>(G4*84)+6540+12*E4</f>
        <v>116730</v>
      </c>
      <c r="K4" s="811"/>
      <c r="L4" s="812"/>
      <c r="M4" s="807">
        <v>0</v>
      </c>
      <c r="N4" s="813">
        <f>D4-M4</f>
        <v>0</v>
      </c>
      <c r="O4" s="999"/>
      <c r="P4" s="814">
        <v>9182.5</v>
      </c>
      <c r="Q4" s="804">
        <f>E4-P4</f>
        <v>0</v>
      </c>
    </row>
    <row r="5" spans="1:25">
      <c r="A5" s="815" t="s">
        <v>246</v>
      </c>
      <c r="B5" s="816"/>
      <c r="C5" s="817"/>
      <c r="D5" s="818"/>
      <c r="E5" s="819"/>
      <c r="F5" s="819"/>
      <c r="G5" s="819"/>
      <c r="H5" s="959"/>
      <c r="I5" s="821"/>
      <c r="J5" s="784"/>
      <c r="K5" s="823"/>
      <c r="L5" s="812"/>
      <c r="M5" s="818"/>
      <c r="N5" s="824"/>
      <c r="P5" s="825"/>
    </row>
    <row r="6" spans="1:25">
      <c r="A6" s="805" t="s">
        <v>321</v>
      </c>
      <c r="B6" s="826"/>
      <c r="C6" s="931" t="s">
        <v>144</v>
      </c>
      <c r="D6" s="807">
        <v>3000</v>
      </c>
      <c r="E6" s="808">
        <v>6145.3</v>
      </c>
      <c r="F6" s="808"/>
      <c r="G6" s="808">
        <v>2</v>
      </c>
      <c r="H6" s="960">
        <v>0</v>
      </c>
      <c r="I6" s="809" t="s">
        <v>185</v>
      </c>
      <c r="J6" s="785">
        <f>(G6*84)+6540+12*E6</f>
        <v>80451.600000000006</v>
      </c>
      <c r="K6" s="811"/>
      <c r="L6" s="812"/>
      <c r="M6" s="807">
        <v>0</v>
      </c>
      <c r="N6" s="813">
        <f>D6-M6</f>
        <v>3000</v>
      </c>
      <c r="O6" s="1002" t="s">
        <v>339</v>
      </c>
      <c r="P6" s="814">
        <v>6145.3</v>
      </c>
      <c r="Q6" s="804">
        <f>E6-P6</f>
        <v>0</v>
      </c>
      <c r="T6" s="1006"/>
      <c r="U6" s="925" t="s">
        <v>340</v>
      </c>
      <c r="Y6" s="793">
        <v>9</v>
      </c>
    </row>
    <row r="7" spans="1:25">
      <c r="A7" s="829" t="s">
        <v>147</v>
      </c>
      <c r="B7" s="830"/>
      <c r="C7" s="831"/>
      <c r="D7" s="832"/>
      <c r="E7" s="833"/>
      <c r="F7" s="833"/>
      <c r="G7" s="833"/>
      <c r="H7" s="961"/>
      <c r="I7" s="834"/>
      <c r="J7" s="786"/>
      <c r="K7" s="836"/>
      <c r="L7" s="812"/>
      <c r="M7" s="832"/>
      <c r="N7" s="710"/>
      <c r="P7" s="837"/>
      <c r="T7" s="1007"/>
      <c r="U7" s="925" t="s">
        <v>341</v>
      </c>
      <c r="Y7" s="793">
        <v>4</v>
      </c>
    </row>
    <row r="8" spans="1:25">
      <c r="A8" s="838" t="s">
        <v>223</v>
      </c>
      <c r="B8" s="839"/>
      <c r="C8" s="872" t="s">
        <v>127</v>
      </c>
      <c r="D8" s="820">
        <v>0</v>
      </c>
      <c r="E8" s="840">
        <v>2477.6999999999998</v>
      </c>
      <c r="F8" s="840">
        <v>0</v>
      </c>
      <c r="G8" s="840">
        <v>0</v>
      </c>
      <c r="H8" s="962">
        <v>0</v>
      </c>
      <c r="I8" s="821" t="s">
        <v>185</v>
      </c>
      <c r="J8" s="784">
        <f>(G8*84)+6540+12*E8</f>
        <v>36272.399999999994</v>
      </c>
      <c r="K8" s="823"/>
      <c r="L8" s="812"/>
      <c r="M8" s="820">
        <v>0</v>
      </c>
      <c r="N8" s="717">
        <f>D8-M8</f>
        <v>0</v>
      </c>
      <c r="O8" s="999"/>
      <c r="P8" s="842">
        <v>2477.6999999999998</v>
      </c>
      <c r="Q8" s="804">
        <f>E8-P8</f>
        <v>0</v>
      </c>
      <c r="T8" s="1008"/>
      <c r="U8" s="925" t="s">
        <v>342</v>
      </c>
      <c r="Y8" s="793">
        <v>1</v>
      </c>
    </row>
    <row r="9" spans="1:25">
      <c r="A9" s="838" t="s">
        <v>224</v>
      </c>
      <c r="B9" s="839"/>
      <c r="C9" s="872" t="s">
        <v>128</v>
      </c>
      <c r="D9" s="820">
        <v>0</v>
      </c>
      <c r="E9" s="840">
        <v>615.9</v>
      </c>
      <c r="F9" s="840">
        <v>0</v>
      </c>
      <c r="G9" s="840">
        <v>0</v>
      </c>
      <c r="H9" s="959">
        <v>0</v>
      </c>
      <c r="I9" s="821" t="s">
        <v>185</v>
      </c>
      <c r="J9" s="784">
        <f>(G9*84)+6540+12*E9</f>
        <v>13930.8</v>
      </c>
      <c r="K9" s="823"/>
      <c r="L9" s="812"/>
      <c r="M9" s="820">
        <v>0</v>
      </c>
      <c r="N9" s="717">
        <f>D9-M9</f>
        <v>0</v>
      </c>
      <c r="O9" s="999"/>
      <c r="P9" s="842">
        <v>615.9</v>
      </c>
      <c r="Q9" s="804">
        <f>E9-P9</f>
        <v>0</v>
      </c>
      <c r="S9" s="1012" t="s">
        <v>345</v>
      </c>
      <c r="T9" s="1009"/>
      <c r="U9" s="925" t="s">
        <v>343</v>
      </c>
      <c r="Y9" s="793">
        <v>12</v>
      </c>
    </row>
    <row r="10" spans="1:25" ht="19.5" thickBot="1">
      <c r="A10" s="838" t="s">
        <v>291</v>
      </c>
      <c r="B10" s="839"/>
      <c r="C10" s="872" t="s">
        <v>177</v>
      </c>
      <c r="D10" s="843">
        <v>0</v>
      </c>
      <c r="E10" s="844">
        <v>531.9</v>
      </c>
      <c r="F10" s="844">
        <v>0</v>
      </c>
      <c r="G10" s="844">
        <v>0</v>
      </c>
      <c r="H10" s="963">
        <v>0</v>
      </c>
      <c r="I10" s="846" t="s">
        <v>185</v>
      </c>
      <c r="J10" s="787">
        <f>(G10*84)+6540+12*E10</f>
        <v>12922.8</v>
      </c>
      <c r="K10" s="848"/>
      <c r="L10" s="812"/>
      <c r="M10" s="843">
        <v>0</v>
      </c>
      <c r="N10" s="849">
        <f>D10-M10</f>
        <v>0</v>
      </c>
      <c r="O10" s="999"/>
      <c r="P10" s="850">
        <v>531.9</v>
      </c>
      <c r="Q10" s="804">
        <f>E10-P10</f>
        <v>0</v>
      </c>
      <c r="T10" s="1010"/>
      <c r="U10" s="925" t="s">
        <v>344</v>
      </c>
      <c r="Y10" s="793">
        <v>5</v>
      </c>
    </row>
    <row r="11" spans="1:25" s="860" customFormat="1" ht="19.5" thickTop="1">
      <c r="A11" s="851"/>
      <c r="B11" s="852"/>
      <c r="C11" s="853" t="s">
        <v>278</v>
      </c>
      <c r="D11" s="854">
        <f>SUM(D8:D10)</f>
        <v>0</v>
      </c>
      <c r="E11" s="855">
        <f>SUM(E8:E10)</f>
        <v>3625.5</v>
      </c>
      <c r="F11" s="855">
        <f>SUM(F8:F10)</f>
        <v>0</v>
      </c>
      <c r="G11" s="855">
        <f>SUM(G8:G10)</f>
        <v>0</v>
      </c>
      <c r="H11" s="977">
        <f>SUM(H8:H10)</f>
        <v>0</v>
      </c>
      <c r="I11" s="856" t="s">
        <v>185</v>
      </c>
      <c r="J11" s="783">
        <f>SUM(J8:J10)</f>
        <v>63126</v>
      </c>
      <c r="K11" s="857"/>
      <c r="L11" s="858"/>
      <c r="M11" s="859">
        <f>SUM(M8:M10)</f>
        <v>0</v>
      </c>
      <c r="N11" s="859">
        <f>D11-M11</f>
        <v>0</v>
      </c>
      <c r="P11" s="861">
        <f>SUM(P8:P10)</f>
        <v>3625.5</v>
      </c>
      <c r="Q11" s="862"/>
      <c r="S11" s="927"/>
      <c r="T11" s="927"/>
    </row>
    <row r="12" spans="1:25">
      <c r="A12" s="815" t="s">
        <v>313</v>
      </c>
      <c r="B12" s="863"/>
      <c r="C12" s="864"/>
      <c r="D12" s="865"/>
      <c r="E12" s="866"/>
      <c r="F12" s="866"/>
      <c r="G12" s="866"/>
      <c r="H12" s="965"/>
      <c r="I12" s="867"/>
      <c r="J12" s="788"/>
      <c r="K12" s="869"/>
      <c r="L12" s="812"/>
      <c r="M12" s="865"/>
      <c r="N12" s="870"/>
      <c r="P12" s="842"/>
    </row>
    <row r="13" spans="1:25">
      <c r="A13" s="871">
        <v>57</v>
      </c>
      <c r="B13" s="863"/>
      <c r="C13" s="872" t="s">
        <v>314</v>
      </c>
      <c r="D13" s="820">
        <v>0</v>
      </c>
      <c r="E13" s="840">
        <v>80.8</v>
      </c>
      <c r="F13" s="983">
        <v>0</v>
      </c>
      <c r="G13" s="983">
        <v>0</v>
      </c>
      <c r="H13" s="959">
        <v>0</v>
      </c>
      <c r="I13" s="867" t="s">
        <v>185</v>
      </c>
      <c r="J13" s="790">
        <f>(G13*84)+6540+12*E13</f>
        <v>7509.6</v>
      </c>
      <c r="K13" s="869"/>
      <c r="L13" s="812"/>
      <c r="M13" s="865">
        <v>0</v>
      </c>
      <c r="N13" s="870">
        <f>D13-M13</f>
        <v>0</v>
      </c>
      <c r="O13" s="1004"/>
      <c r="P13" s="842">
        <v>80.8</v>
      </c>
      <c r="Q13" s="804">
        <f>E13-P13</f>
        <v>0</v>
      </c>
    </row>
    <row r="14" spans="1:25" ht="19.5" thickBot="1">
      <c r="A14" s="871">
        <v>59</v>
      </c>
      <c r="B14" s="863"/>
      <c r="C14" s="872" t="s">
        <v>326</v>
      </c>
      <c r="D14" s="843">
        <v>1952</v>
      </c>
      <c r="E14" s="844">
        <v>970</v>
      </c>
      <c r="F14" s="984">
        <v>254.21</v>
      </c>
      <c r="G14" s="984">
        <v>1.98</v>
      </c>
      <c r="H14" s="966">
        <v>0</v>
      </c>
      <c r="I14" s="932" t="s">
        <v>185</v>
      </c>
      <c r="J14" s="944">
        <f>(G14*84)+6540+12*E14</f>
        <v>18346.32</v>
      </c>
      <c r="K14" s="933"/>
      <c r="L14" s="936"/>
      <c r="M14" s="940">
        <v>0</v>
      </c>
      <c r="N14" s="934">
        <f>D14-M14</f>
        <v>1952</v>
      </c>
      <c r="O14" s="1003" t="s">
        <v>339</v>
      </c>
      <c r="P14" s="850">
        <v>970</v>
      </c>
      <c r="Q14" s="804">
        <f>E14-P14</f>
        <v>0</v>
      </c>
    </row>
    <row r="15" spans="1:25" ht="19.5" thickTop="1">
      <c r="A15" s="871"/>
      <c r="B15" s="863"/>
      <c r="C15" s="864" t="s">
        <v>325</v>
      </c>
      <c r="D15" s="717">
        <f>SUM(D13:D14)</f>
        <v>1952</v>
      </c>
      <c r="E15" s="842">
        <f t="shared" ref="E15:H15" si="0">SUM(E13:E14)</f>
        <v>1050.8</v>
      </c>
      <c r="F15" s="712">
        <f t="shared" si="0"/>
        <v>254.21</v>
      </c>
      <c r="G15" s="712">
        <f t="shared" si="0"/>
        <v>1.98</v>
      </c>
      <c r="H15" s="978">
        <f t="shared" si="0"/>
        <v>0</v>
      </c>
      <c r="I15" s="834"/>
      <c r="J15" s="979">
        <f>SUM(J13:J14)</f>
        <v>25855.919999999998</v>
      </c>
      <c r="K15" s="836"/>
      <c r="L15" s="812"/>
      <c r="M15" s="997">
        <f>SUM(M13:M14)</f>
        <v>0</v>
      </c>
      <c r="N15" s="870">
        <f>SUM(N13:N14)</f>
        <v>1952</v>
      </c>
      <c r="P15" s="842">
        <f>SUM(P13:P14)</f>
        <v>1050.8</v>
      </c>
    </row>
    <row r="16" spans="1:25">
      <c r="A16" s="829" t="s">
        <v>180</v>
      </c>
      <c r="B16" s="830"/>
      <c r="C16" s="831"/>
      <c r="D16" s="832"/>
      <c r="E16" s="833"/>
      <c r="F16" s="833"/>
      <c r="G16" s="833"/>
      <c r="H16" s="961"/>
      <c r="I16" s="834"/>
      <c r="J16" s="786"/>
      <c r="K16" s="836"/>
      <c r="L16" s="812"/>
      <c r="M16" s="832"/>
      <c r="N16" s="710"/>
      <c r="P16" s="837"/>
    </row>
    <row r="17" spans="1:20">
      <c r="A17" s="838" t="s">
        <v>227</v>
      </c>
      <c r="B17" s="839"/>
      <c r="C17" s="872" t="s">
        <v>132</v>
      </c>
      <c r="D17" s="820">
        <v>3423249</v>
      </c>
      <c r="E17" s="840">
        <v>14920.8</v>
      </c>
      <c r="F17" s="840">
        <v>327.3</v>
      </c>
      <c r="G17" s="840">
        <v>125.4</v>
      </c>
      <c r="H17" s="978">
        <f>D17/G17</f>
        <v>27298.636363636364</v>
      </c>
      <c r="I17" s="821" t="s">
        <v>185</v>
      </c>
      <c r="J17" s="784">
        <f>(G17*84)+6540+12*E17</f>
        <v>196123.19999999998</v>
      </c>
      <c r="K17" s="823"/>
      <c r="L17" s="812"/>
      <c r="M17" s="820">
        <v>2937817</v>
      </c>
      <c r="N17" s="717">
        <f>D17-M17</f>
        <v>485432</v>
      </c>
      <c r="O17" s="1005">
        <f>N17/M17</f>
        <v>0.16523561542465035</v>
      </c>
      <c r="P17" s="842">
        <v>14920.8</v>
      </c>
      <c r="Q17" s="804">
        <f>E17-P17</f>
        <v>0</v>
      </c>
    </row>
    <row r="18" spans="1:20" ht="19.5" thickBot="1">
      <c r="A18" s="838" t="s">
        <v>253</v>
      </c>
      <c r="B18" s="839"/>
      <c r="C18" s="872" t="s">
        <v>157</v>
      </c>
      <c r="D18" s="843">
        <v>1834491</v>
      </c>
      <c r="E18" s="844">
        <v>5306.9</v>
      </c>
      <c r="F18" s="844">
        <v>105.1</v>
      </c>
      <c r="G18" s="844">
        <v>187.6</v>
      </c>
      <c r="H18" s="982">
        <f>D18/G18</f>
        <v>9778.7366737739867</v>
      </c>
      <c r="I18" s="874" t="s">
        <v>185</v>
      </c>
      <c r="J18" s="787">
        <f>ROUNDUP((G18*84)+6540+12*E18,2)</f>
        <v>85981.2</v>
      </c>
      <c r="K18" s="875"/>
      <c r="L18" s="812"/>
      <c r="M18" s="843">
        <v>2040482</v>
      </c>
      <c r="N18" s="849">
        <f>D18-M18</f>
        <v>-205991</v>
      </c>
      <c r="O18" s="1011">
        <f>N18/M18</f>
        <v>-0.10095212797760529</v>
      </c>
      <c r="P18" s="850">
        <v>5306.9</v>
      </c>
      <c r="Q18" s="804">
        <f t="shared" ref="Q18:Q49" si="1">E18-P18</f>
        <v>0</v>
      </c>
    </row>
    <row r="19" spans="1:20" s="860" customFormat="1" ht="18" customHeight="1" thickTop="1">
      <c r="A19" s="851"/>
      <c r="B19" s="852"/>
      <c r="C19" s="853" t="s">
        <v>279</v>
      </c>
      <c r="D19" s="859">
        <f>SUM(D17:D18)</f>
        <v>5257740</v>
      </c>
      <c r="E19" s="861">
        <f>SUM(E17:E18)</f>
        <v>20227.699999999997</v>
      </c>
      <c r="F19" s="861">
        <f>SUM(F17:F18)</f>
        <v>432.4</v>
      </c>
      <c r="G19" s="861">
        <f>SUM(G17:G18)</f>
        <v>313</v>
      </c>
      <c r="H19" s="977"/>
      <c r="I19" s="876" t="s">
        <v>185</v>
      </c>
      <c r="J19" s="785">
        <f>ROUNDUP(SUM(J17:J18),2)</f>
        <v>282104.40000000002</v>
      </c>
      <c r="K19" s="877"/>
      <c r="L19" s="858"/>
      <c r="M19" s="859">
        <f>SUM(M17:M18)</f>
        <v>4978299</v>
      </c>
      <c r="N19" s="859">
        <f>D19-M19</f>
        <v>279441</v>
      </c>
      <c r="O19" s="910">
        <f>N19/M19</f>
        <v>5.6131823339658785E-2</v>
      </c>
      <c r="P19" s="861">
        <f>SUM(P17:P18)</f>
        <v>20227.699999999997</v>
      </c>
      <c r="Q19" s="862"/>
      <c r="S19" s="927"/>
      <c r="T19" s="927"/>
    </row>
    <row r="20" spans="1:20" ht="18" customHeight="1">
      <c r="A20" s="829" t="s">
        <v>75</v>
      </c>
      <c r="B20" s="830"/>
      <c r="C20" s="831"/>
      <c r="D20" s="832"/>
      <c r="E20" s="833"/>
      <c r="F20" s="833"/>
      <c r="G20" s="833"/>
      <c r="H20" s="961"/>
      <c r="I20" s="834"/>
      <c r="J20" s="786"/>
      <c r="K20" s="836"/>
      <c r="L20" s="812"/>
      <c r="M20" s="832"/>
      <c r="N20" s="710"/>
      <c r="O20" s="910"/>
      <c r="P20" s="837"/>
      <c r="R20" s="878"/>
    </row>
    <row r="21" spans="1:20" ht="18" customHeight="1">
      <c r="A21" s="838" t="s">
        <v>290</v>
      </c>
      <c r="B21" s="839"/>
      <c r="C21" s="872" t="s">
        <v>216</v>
      </c>
      <c r="D21" s="820">
        <v>2903406</v>
      </c>
      <c r="E21" s="840">
        <v>20014.2</v>
      </c>
      <c r="F21" s="840">
        <v>178.8</v>
      </c>
      <c r="G21" s="840">
        <v>244.9</v>
      </c>
      <c r="H21" s="978">
        <f>D21/G21</f>
        <v>11855.47570436913</v>
      </c>
      <c r="I21" s="821" t="s">
        <v>185</v>
      </c>
      <c r="J21" s="784">
        <f>(G21*84)+6540+12*E21</f>
        <v>267282</v>
      </c>
      <c r="K21" s="823"/>
      <c r="L21" s="812"/>
      <c r="M21" s="820">
        <v>2449350</v>
      </c>
      <c r="N21" s="717">
        <f>D21-M21</f>
        <v>454056</v>
      </c>
      <c r="O21" s="1005">
        <f>N21/M21</f>
        <v>0.18537816155306511</v>
      </c>
      <c r="P21" s="842">
        <v>20014.2</v>
      </c>
      <c r="Q21" s="804">
        <f t="shared" si="1"/>
        <v>0</v>
      </c>
      <c r="R21" s="879"/>
    </row>
    <row r="22" spans="1:20" ht="18" customHeight="1" thickBot="1">
      <c r="A22" s="838">
        <v>55</v>
      </c>
      <c r="B22" s="839"/>
      <c r="C22" s="872" t="s">
        <v>293</v>
      </c>
      <c r="D22" s="843">
        <v>1558027</v>
      </c>
      <c r="E22" s="844">
        <v>6450</v>
      </c>
      <c r="F22" s="844">
        <v>86.9</v>
      </c>
      <c r="G22" s="844">
        <v>136.5</v>
      </c>
      <c r="H22" s="982">
        <f>D22/G22</f>
        <v>11414.117216117216</v>
      </c>
      <c r="I22" s="874" t="s">
        <v>185</v>
      </c>
      <c r="J22" s="787">
        <f>(G22*84)+6540+12*E22</f>
        <v>95406</v>
      </c>
      <c r="K22" s="875"/>
      <c r="L22" s="812"/>
      <c r="M22" s="843">
        <v>1464027</v>
      </c>
      <c r="N22" s="849">
        <f>D22-M22</f>
        <v>94000</v>
      </c>
      <c r="O22" s="1005">
        <f>N22/M22</f>
        <v>6.4206466137578064E-2</v>
      </c>
      <c r="P22" s="850">
        <v>6450</v>
      </c>
      <c r="Q22" s="804">
        <f t="shared" si="1"/>
        <v>0</v>
      </c>
      <c r="R22" s="879"/>
    </row>
    <row r="23" spans="1:20" s="860" customFormat="1" ht="18" customHeight="1" thickTop="1">
      <c r="A23" s="880"/>
      <c r="B23" s="881"/>
      <c r="C23" s="864" t="s">
        <v>294</v>
      </c>
      <c r="D23" s="870">
        <f>SUM(D21:D22)</f>
        <v>4461433</v>
      </c>
      <c r="E23" s="885">
        <f>SUM(E21:E22)</f>
        <v>26464.2</v>
      </c>
      <c r="F23" s="885">
        <f>SUM(F21:F22)</f>
        <v>265.70000000000005</v>
      </c>
      <c r="G23" s="885">
        <f>SUM(G21:G22)</f>
        <v>381.4</v>
      </c>
      <c r="H23" s="965"/>
      <c r="I23" s="882" t="s">
        <v>185</v>
      </c>
      <c r="J23" s="789">
        <f>SUM(J21:J22)</f>
        <v>362688</v>
      </c>
      <c r="K23" s="884"/>
      <c r="L23" s="858"/>
      <c r="M23" s="870">
        <f>SUM(M21:M22)</f>
        <v>3913377</v>
      </c>
      <c r="N23" s="870">
        <f>SUM(N21:N22)</f>
        <v>548056</v>
      </c>
      <c r="O23" s="910">
        <f>N23/M23</f>
        <v>0.14004681889835813</v>
      </c>
      <c r="P23" s="885">
        <f>SUM(P21:P22)</f>
        <v>26464.2</v>
      </c>
      <c r="Q23" s="862"/>
      <c r="R23" s="886"/>
      <c r="S23" s="927"/>
      <c r="T23" s="927"/>
    </row>
    <row r="24" spans="1:20" ht="18" customHeight="1">
      <c r="A24" s="829" t="s">
        <v>338</v>
      </c>
      <c r="B24" s="830"/>
      <c r="C24" s="831"/>
      <c r="D24" s="832"/>
      <c r="E24" s="833"/>
      <c r="F24" s="833"/>
      <c r="G24" s="833"/>
      <c r="H24" s="961"/>
      <c r="I24" s="834"/>
      <c r="J24" s="786"/>
      <c r="K24" s="836"/>
      <c r="L24" s="812"/>
      <c r="M24" s="832"/>
      <c r="N24" s="832"/>
      <c r="O24" s="910"/>
      <c r="P24" s="837"/>
      <c r="R24" s="879"/>
    </row>
    <row r="25" spans="1:20" ht="18" customHeight="1">
      <c r="A25" s="838" t="s">
        <v>322</v>
      </c>
      <c r="B25" s="839"/>
      <c r="C25" s="872" t="s">
        <v>151</v>
      </c>
      <c r="D25" s="820">
        <v>457579</v>
      </c>
      <c r="E25" s="840">
        <v>9939.1</v>
      </c>
      <c r="F25" s="983">
        <v>50.46</v>
      </c>
      <c r="G25" s="983">
        <v>40.229999999999997</v>
      </c>
      <c r="H25" s="978">
        <f>D25/G25</f>
        <v>11374.074074074075</v>
      </c>
      <c r="I25" s="821" t="s">
        <v>185</v>
      </c>
      <c r="J25" s="784">
        <f>(G25*84)+6540+12*E25</f>
        <v>129188.52000000002</v>
      </c>
      <c r="K25" s="823"/>
      <c r="L25" s="812"/>
      <c r="M25" s="820">
        <v>675503</v>
      </c>
      <c r="N25" s="717">
        <f>D25-M25</f>
        <v>-217924</v>
      </c>
      <c r="O25" s="1011">
        <f>N25/M25</f>
        <v>-0.32260996620296284</v>
      </c>
      <c r="P25" s="842">
        <v>9939.1</v>
      </c>
      <c r="Q25" s="804">
        <f t="shared" si="1"/>
        <v>0</v>
      </c>
      <c r="R25" s="879"/>
    </row>
    <row r="26" spans="1:20" ht="18" customHeight="1" thickBot="1">
      <c r="A26" s="838" t="s">
        <v>323</v>
      </c>
      <c r="B26" s="839"/>
      <c r="C26" s="872" t="s">
        <v>244</v>
      </c>
      <c r="D26" s="843">
        <v>1818292</v>
      </c>
      <c r="E26" s="844">
        <v>2726.6</v>
      </c>
      <c r="F26" s="984">
        <v>166.55</v>
      </c>
      <c r="G26" s="984">
        <v>208.2</v>
      </c>
      <c r="H26" s="982">
        <f>D26/G26</f>
        <v>8733.3909702209421</v>
      </c>
      <c r="I26" s="874" t="s">
        <v>185</v>
      </c>
      <c r="J26" s="787">
        <f>(G26*84)+6540+12*E26</f>
        <v>56748</v>
      </c>
      <c r="K26" s="875"/>
      <c r="L26" s="812"/>
      <c r="M26" s="843">
        <v>2496779</v>
      </c>
      <c r="N26" s="849">
        <f>D26-M26</f>
        <v>-678487</v>
      </c>
      <c r="O26" s="1011">
        <f>N26/M26</f>
        <v>-0.2717449161499676</v>
      </c>
      <c r="P26" s="850">
        <v>2726.6</v>
      </c>
      <c r="Q26" s="804">
        <f t="shared" si="1"/>
        <v>0</v>
      </c>
      <c r="R26" s="879"/>
    </row>
    <row r="27" spans="1:20" s="860" customFormat="1" ht="18" customHeight="1" thickTop="1">
      <c r="A27" s="880"/>
      <c r="B27" s="881"/>
      <c r="C27" s="864" t="s">
        <v>280</v>
      </c>
      <c r="D27" s="870">
        <f>SUM(D25:D26)</f>
        <v>2275871</v>
      </c>
      <c r="E27" s="885">
        <f>SUM(E25:E26)</f>
        <v>12665.7</v>
      </c>
      <c r="F27" s="779">
        <f>SUM(F25:F26)</f>
        <v>217.01000000000002</v>
      </c>
      <c r="G27" s="779">
        <f>SUM(G25:G26)</f>
        <v>248.42999999999998</v>
      </c>
      <c r="H27" s="965"/>
      <c r="I27" s="882" t="s">
        <v>185</v>
      </c>
      <c r="J27" s="789">
        <f>SUM(J25:J26)</f>
        <v>185936.52000000002</v>
      </c>
      <c r="K27" s="884"/>
      <c r="L27" s="858"/>
      <c r="M27" s="870">
        <f>SUM(M25:M26)</f>
        <v>3172282</v>
      </c>
      <c r="N27" s="870">
        <f>SUM(N25:N26)</f>
        <v>-896411</v>
      </c>
      <c r="O27" s="910">
        <f>N27/M27</f>
        <v>-0.28257607614959829</v>
      </c>
      <c r="P27" s="885">
        <f>SUM(P25:P26)</f>
        <v>12665.7</v>
      </c>
      <c r="Q27" s="862"/>
      <c r="R27" s="887"/>
      <c r="S27" s="927"/>
      <c r="T27" s="927"/>
    </row>
    <row r="28" spans="1:20" ht="18" customHeight="1">
      <c r="A28" s="829" t="s">
        <v>78</v>
      </c>
      <c r="B28" s="830"/>
      <c r="C28" s="831"/>
      <c r="D28" s="832"/>
      <c r="E28" s="833"/>
      <c r="F28" s="833"/>
      <c r="G28" s="833"/>
      <c r="H28" s="961"/>
      <c r="I28" s="834"/>
      <c r="J28" s="786"/>
      <c r="K28" s="836"/>
      <c r="L28" s="812"/>
      <c r="M28" s="832"/>
      <c r="N28" s="710"/>
      <c r="O28" s="910"/>
      <c r="P28" s="837"/>
      <c r="R28" s="878"/>
    </row>
    <row r="29" spans="1:20" ht="18" customHeight="1">
      <c r="A29" s="838" t="s">
        <v>230</v>
      </c>
      <c r="B29" s="839"/>
      <c r="C29" s="872" t="s">
        <v>134</v>
      </c>
      <c r="D29" s="820">
        <v>0</v>
      </c>
      <c r="E29" s="840">
        <v>5228</v>
      </c>
      <c r="F29" s="840">
        <v>0</v>
      </c>
      <c r="G29" s="840">
        <v>0</v>
      </c>
      <c r="H29" s="959">
        <v>0</v>
      </c>
      <c r="I29" s="821" t="s">
        <v>185</v>
      </c>
      <c r="J29" s="784">
        <f>(G29*84)+6540+12*E29</f>
        <v>69276</v>
      </c>
      <c r="K29" s="823"/>
      <c r="L29" s="812"/>
      <c r="M29" s="820">
        <v>0</v>
      </c>
      <c r="N29" s="717">
        <f>D29-M29</f>
        <v>0</v>
      </c>
      <c r="O29" s="1000"/>
      <c r="P29" s="842">
        <v>5227.6000000000004</v>
      </c>
      <c r="Q29" s="804">
        <f t="shared" si="1"/>
        <v>0.3999999999996362</v>
      </c>
      <c r="R29" s="878">
        <f>(G29*84)+6540+12*P29</f>
        <v>69271.200000000012</v>
      </c>
      <c r="S29" s="878">
        <f>J29-R29</f>
        <v>4.7999999999883585</v>
      </c>
    </row>
    <row r="30" spans="1:20" ht="18" customHeight="1" thickBot="1">
      <c r="A30" s="838" t="s">
        <v>231</v>
      </c>
      <c r="B30" s="839"/>
      <c r="C30" s="872" t="s">
        <v>178</v>
      </c>
      <c r="D30" s="843">
        <v>0</v>
      </c>
      <c r="E30" s="844">
        <v>1963</v>
      </c>
      <c r="F30" s="844">
        <v>0</v>
      </c>
      <c r="G30" s="844">
        <v>0</v>
      </c>
      <c r="H30" s="966">
        <v>0</v>
      </c>
      <c r="I30" s="874" t="s">
        <v>185</v>
      </c>
      <c r="J30" s="787">
        <f>(G30*84)+6540+12*E30</f>
        <v>30096</v>
      </c>
      <c r="K30" s="875"/>
      <c r="L30" s="812"/>
      <c r="M30" s="843">
        <v>0</v>
      </c>
      <c r="N30" s="849">
        <f>D30-M30</f>
        <v>0</v>
      </c>
      <c r="O30" s="1000"/>
      <c r="P30" s="850">
        <v>1962.5</v>
      </c>
      <c r="Q30" s="804">
        <f t="shared" si="1"/>
        <v>0.5</v>
      </c>
      <c r="R30" s="878">
        <f>(G30*84)+6540+12*P30</f>
        <v>30090</v>
      </c>
      <c r="S30" s="878">
        <f>J30-R30</f>
        <v>6</v>
      </c>
    </row>
    <row r="31" spans="1:20" s="860" customFormat="1" ht="18" customHeight="1" thickTop="1">
      <c r="A31" s="851"/>
      <c r="B31" s="852"/>
      <c r="C31" s="853" t="s">
        <v>281</v>
      </c>
      <c r="D31" s="859">
        <f>SUM(D29:D30)</f>
        <v>0</v>
      </c>
      <c r="E31" s="861">
        <f>SUM(E29:E30)</f>
        <v>7191</v>
      </c>
      <c r="F31" s="861">
        <f>SUM(F29:F30)</f>
        <v>0</v>
      </c>
      <c r="G31" s="861">
        <f>SUM(G29:G30)</f>
        <v>0</v>
      </c>
      <c r="H31" s="964">
        <v>0</v>
      </c>
      <c r="I31" s="856" t="s">
        <v>185</v>
      </c>
      <c r="J31" s="980">
        <f>SUM(J29:J30)</f>
        <v>99372</v>
      </c>
      <c r="K31" s="857"/>
      <c r="L31" s="858"/>
      <c r="M31" s="859">
        <f>SUM(M29:M30)</f>
        <v>0</v>
      </c>
      <c r="N31" s="859">
        <f>D31-M31</f>
        <v>0</v>
      </c>
      <c r="O31" s="910"/>
      <c r="P31" s="861">
        <f>SUM(P29:P30)</f>
        <v>7190.1</v>
      </c>
      <c r="Q31" s="862"/>
      <c r="S31" s="927"/>
      <c r="T31" s="927"/>
    </row>
    <row r="32" spans="1:20" ht="18" customHeight="1">
      <c r="A32" s="829" t="s">
        <v>219</v>
      </c>
      <c r="B32" s="830"/>
      <c r="C32" s="831"/>
      <c r="D32" s="832"/>
      <c r="E32" s="833"/>
      <c r="F32" s="833"/>
      <c r="G32" s="833"/>
      <c r="H32" s="961"/>
      <c r="I32" s="834"/>
      <c r="J32" s="786"/>
      <c r="K32" s="836"/>
      <c r="L32" s="812"/>
      <c r="M32" s="832"/>
      <c r="N32" s="710"/>
      <c r="O32" s="910"/>
      <c r="P32" s="837"/>
    </row>
    <row r="33" spans="1:20" ht="18" customHeight="1">
      <c r="A33" s="838" t="s">
        <v>311</v>
      </c>
      <c r="B33" s="839"/>
      <c r="C33" s="872" t="s">
        <v>136</v>
      </c>
      <c r="D33" s="820">
        <v>0</v>
      </c>
      <c r="E33" s="840">
        <v>6463</v>
      </c>
      <c r="F33" s="840">
        <v>0</v>
      </c>
      <c r="G33" s="840">
        <v>0</v>
      </c>
      <c r="H33" s="959">
        <v>0</v>
      </c>
      <c r="I33" s="821" t="s">
        <v>185</v>
      </c>
      <c r="J33" s="784">
        <f>(G33*84)+6540+12*E33</f>
        <v>84096</v>
      </c>
      <c r="K33" s="823"/>
      <c r="L33" s="812"/>
      <c r="M33" s="820">
        <v>0</v>
      </c>
      <c r="N33" s="717">
        <f t="shared" ref="N33:N46" si="2">D33-M33</f>
        <v>0</v>
      </c>
      <c r="O33" s="1000"/>
      <c r="P33" s="842">
        <v>6463</v>
      </c>
      <c r="Q33" s="804">
        <f t="shared" si="1"/>
        <v>0</v>
      </c>
    </row>
    <row r="34" spans="1:20" ht="18" customHeight="1">
      <c r="A34" s="838" t="s">
        <v>269</v>
      </c>
      <c r="B34" s="839"/>
      <c r="C34" s="872" t="s">
        <v>143</v>
      </c>
      <c r="D34" s="820">
        <v>4668476</v>
      </c>
      <c r="E34" s="840">
        <v>17221.8</v>
      </c>
      <c r="F34" s="840">
        <v>17.7</v>
      </c>
      <c r="G34" s="840">
        <v>244.6</v>
      </c>
      <c r="H34" s="978">
        <f>D34/G34</f>
        <v>19086.165167620606</v>
      </c>
      <c r="I34" s="821" t="s">
        <v>185</v>
      </c>
      <c r="J34" s="784">
        <f t="shared" ref="J34:J44" si="3">(G34*84)+6540+12*E34</f>
        <v>233747.99999999997</v>
      </c>
      <c r="K34" s="823"/>
      <c r="L34" s="812"/>
      <c r="M34" s="820">
        <v>4416772</v>
      </c>
      <c r="N34" s="717">
        <f t="shared" si="2"/>
        <v>251704</v>
      </c>
      <c r="O34" s="1005">
        <f>N34/M34</f>
        <v>5.6988225790237761E-2</v>
      </c>
      <c r="P34" s="842">
        <v>17221.8</v>
      </c>
      <c r="Q34" s="804">
        <f t="shared" si="1"/>
        <v>0</v>
      </c>
    </row>
    <row r="35" spans="1:20" ht="18" customHeight="1">
      <c r="A35" s="838" t="s">
        <v>324</v>
      </c>
      <c r="B35" s="839"/>
      <c r="C35" s="872" t="s">
        <v>137</v>
      </c>
      <c r="D35" s="820">
        <v>3082822</v>
      </c>
      <c r="E35" s="840">
        <v>19759</v>
      </c>
      <c r="F35" s="840">
        <v>201.9</v>
      </c>
      <c r="G35" s="840">
        <v>332.4</v>
      </c>
      <c r="H35" s="978">
        <f>D35/G35</f>
        <v>9274.4344163658243</v>
      </c>
      <c r="I35" s="821" t="s">
        <v>185</v>
      </c>
      <c r="J35" s="784">
        <f t="shared" si="3"/>
        <v>271569.59999999998</v>
      </c>
      <c r="K35" s="823"/>
      <c r="L35" s="812"/>
      <c r="M35" s="820">
        <v>3528785</v>
      </c>
      <c r="N35" s="717">
        <f t="shared" si="2"/>
        <v>-445963</v>
      </c>
      <c r="O35" s="1011">
        <f>N35/M35</f>
        <v>-0.12637862607101311</v>
      </c>
      <c r="P35" s="842">
        <v>19759</v>
      </c>
      <c r="Q35" s="804">
        <f t="shared" si="1"/>
        <v>0</v>
      </c>
    </row>
    <row r="36" spans="1:20" ht="18" customHeight="1">
      <c r="A36" s="838" t="s">
        <v>333</v>
      </c>
      <c r="B36" s="839"/>
      <c r="C36" s="872" t="s">
        <v>145</v>
      </c>
      <c r="D36" s="820">
        <v>667328</v>
      </c>
      <c r="E36" s="840">
        <v>14906.8</v>
      </c>
      <c r="F36" s="840">
        <v>0</v>
      </c>
      <c r="G36" s="840">
        <v>27.9</v>
      </c>
      <c r="H36" s="978">
        <f>D36/G36</f>
        <v>23918.566308243728</v>
      </c>
      <c r="I36" s="821" t="s">
        <v>185</v>
      </c>
      <c r="J36" s="784">
        <f t="shared" si="3"/>
        <v>187765.19999999998</v>
      </c>
      <c r="K36" s="823"/>
      <c r="L36" s="812"/>
      <c r="M36" s="820">
        <v>709648</v>
      </c>
      <c r="N36" s="717">
        <f t="shared" si="2"/>
        <v>-42320</v>
      </c>
      <c r="O36" s="1011">
        <f>N36/M36</f>
        <v>-5.9635199422812438E-2</v>
      </c>
      <c r="P36" s="842">
        <v>14906.8</v>
      </c>
      <c r="Q36" s="804">
        <f t="shared" si="1"/>
        <v>0</v>
      </c>
    </row>
    <row r="37" spans="1:20" ht="18" customHeight="1">
      <c r="A37" s="838" t="s">
        <v>271</v>
      </c>
      <c r="B37" s="839"/>
      <c r="C37" s="872" t="s">
        <v>138</v>
      </c>
      <c r="D37" s="820">
        <v>0</v>
      </c>
      <c r="E37" s="840">
        <v>3147</v>
      </c>
      <c r="F37" s="840">
        <v>0</v>
      </c>
      <c r="G37" s="840">
        <v>0</v>
      </c>
      <c r="H37" s="978">
        <v>0</v>
      </c>
      <c r="I37" s="821" t="s">
        <v>185</v>
      </c>
      <c r="J37" s="784">
        <f t="shared" si="3"/>
        <v>44304</v>
      </c>
      <c r="K37" s="823"/>
      <c r="L37" s="812"/>
      <c r="M37" s="820">
        <v>0</v>
      </c>
      <c r="N37" s="717">
        <f t="shared" si="2"/>
        <v>0</v>
      </c>
      <c r="O37" s="1000"/>
      <c r="P37" s="842">
        <v>3147</v>
      </c>
      <c r="Q37" s="804">
        <f t="shared" si="1"/>
        <v>0</v>
      </c>
    </row>
    <row r="38" spans="1:20" ht="18" customHeight="1">
      <c r="A38" s="838" t="s">
        <v>334</v>
      </c>
      <c r="B38" s="839"/>
      <c r="C38" s="872" t="s">
        <v>165</v>
      </c>
      <c r="D38" s="818">
        <v>7687665</v>
      </c>
      <c r="E38" s="819">
        <v>15286.4</v>
      </c>
      <c r="F38" s="819">
        <v>611.6</v>
      </c>
      <c r="G38" s="819">
        <v>189.6</v>
      </c>
      <c r="H38" s="985">
        <f t="shared" ref="H38:H40" si="4">D38/G38</f>
        <v>40546.756329113923</v>
      </c>
      <c r="I38" s="821" t="s">
        <v>185</v>
      </c>
      <c r="J38" s="784">
        <f t="shared" si="3"/>
        <v>205903.19999999998</v>
      </c>
      <c r="K38" s="823"/>
      <c r="L38" s="812"/>
      <c r="M38" s="818">
        <v>7141399</v>
      </c>
      <c r="N38" s="717">
        <f t="shared" si="2"/>
        <v>546266</v>
      </c>
      <c r="O38" s="1005">
        <f>N38/M38</f>
        <v>7.6492855251471037E-2</v>
      </c>
      <c r="P38" s="825">
        <v>15286.4</v>
      </c>
      <c r="Q38" s="804">
        <f>E38-P38</f>
        <v>0</v>
      </c>
    </row>
    <row r="39" spans="1:20" ht="18" customHeight="1">
      <c r="A39" s="838" t="s">
        <v>273</v>
      </c>
      <c r="B39" s="839"/>
      <c r="C39" s="872" t="s">
        <v>274</v>
      </c>
      <c r="D39" s="820">
        <v>0</v>
      </c>
      <c r="E39" s="840">
        <v>2483.9</v>
      </c>
      <c r="F39" s="840">
        <v>0</v>
      </c>
      <c r="G39" s="840">
        <v>0</v>
      </c>
      <c r="H39" s="985">
        <v>0</v>
      </c>
      <c r="I39" s="821" t="s">
        <v>185</v>
      </c>
      <c r="J39" s="784">
        <f t="shared" si="3"/>
        <v>36346.800000000003</v>
      </c>
      <c r="K39" s="823"/>
      <c r="L39" s="812"/>
      <c r="M39" s="820">
        <v>0</v>
      </c>
      <c r="N39" s="717">
        <f t="shared" si="2"/>
        <v>0</v>
      </c>
      <c r="O39" s="910"/>
      <c r="P39" s="842">
        <v>2483.9</v>
      </c>
      <c r="Q39" s="804">
        <f t="shared" si="1"/>
        <v>0</v>
      </c>
    </row>
    <row r="40" spans="1:20" ht="18" customHeight="1">
      <c r="A40" s="838" t="s">
        <v>296</v>
      </c>
      <c r="B40" s="839"/>
      <c r="C40" s="872" t="s">
        <v>217</v>
      </c>
      <c r="D40" s="820">
        <v>9205367</v>
      </c>
      <c r="E40" s="840">
        <v>10495</v>
      </c>
      <c r="F40" s="840">
        <v>608</v>
      </c>
      <c r="G40" s="840">
        <v>544</v>
      </c>
      <c r="H40" s="985">
        <f t="shared" si="4"/>
        <v>16921.630514705881</v>
      </c>
      <c r="I40" s="821" t="s">
        <v>185</v>
      </c>
      <c r="J40" s="784">
        <f t="shared" si="3"/>
        <v>178176</v>
      </c>
      <c r="K40" s="823"/>
      <c r="L40" s="812"/>
      <c r="M40" s="820">
        <v>8894156</v>
      </c>
      <c r="N40" s="717">
        <f t="shared" si="2"/>
        <v>311211</v>
      </c>
      <c r="O40" s="1005">
        <f>N40/M40</f>
        <v>3.4990503876927724E-2</v>
      </c>
      <c r="P40" s="842">
        <v>10495</v>
      </c>
      <c r="Q40" s="804">
        <f t="shared" si="1"/>
        <v>0</v>
      </c>
    </row>
    <row r="41" spans="1:20" ht="18" customHeight="1">
      <c r="A41" s="838">
        <v>51</v>
      </c>
      <c r="B41" s="839"/>
      <c r="C41" s="872" t="s">
        <v>242</v>
      </c>
      <c r="D41" s="820">
        <v>0</v>
      </c>
      <c r="E41" s="840">
        <v>4314.3999999999996</v>
      </c>
      <c r="F41" s="840">
        <v>0</v>
      </c>
      <c r="G41" s="840">
        <v>0</v>
      </c>
      <c r="H41" s="962">
        <v>0</v>
      </c>
      <c r="I41" s="821" t="s">
        <v>185</v>
      </c>
      <c r="J41" s="784">
        <f t="shared" si="3"/>
        <v>58312.799999999996</v>
      </c>
      <c r="K41" s="823"/>
      <c r="L41" s="812"/>
      <c r="M41" s="820">
        <v>0</v>
      </c>
      <c r="N41" s="717">
        <f t="shared" si="2"/>
        <v>0</v>
      </c>
      <c r="O41" s="910"/>
      <c r="P41" s="842">
        <v>4314.3999999999996</v>
      </c>
      <c r="Q41" s="804">
        <f t="shared" si="1"/>
        <v>0</v>
      </c>
    </row>
    <row r="42" spans="1:20" ht="18" customHeight="1">
      <c r="A42" s="838">
        <v>53</v>
      </c>
      <c r="B42" s="839"/>
      <c r="C42" s="872" t="s">
        <v>250</v>
      </c>
      <c r="D42" s="820">
        <v>0</v>
      </c>
      <c r="E42" s="840">
        <v>2308</v>
      </c>
      <c r="F42" s="840">
        <v>312</v>
      </c>
      <c r="G42" s="840">
        <v>0</v>
      </c>
      <c r="H42" s="962">
        <v>0</v>
      </c>
      <c r="I42" s="821" t="s">
        <v>185</v>
      </c>
      <c r="J42" s="784">
        <f t="shared" si="3"/>
        <v>34236</v>
      </c>
      <c r="K42" s="823"/>
      <c r="L42" s="812"/>
      <c r="M42" s="820">
        <v>855384</v>
      </c>
      <c r="N42" s="717">
        <f t="shared" si="2"/>
        <v>-855384</v>
      </c>
      <c r="O42" s="1000"/>
      <c r="P42" s="842">
        <v>2308</v>
      </c>
      <c r="Q42" s="804">
        <f>E42-P42</f>
        <v>0</v>
      </c>
    </row>
    <row r="43" spans="1:20" ht="18" customHeight="1">
      <c r="A43" s="838">
        <v>54</v>
      </c>
      <c r="B43" s="839"/>
      <c r="C43" s="872" t="s">
        <v>275</v>
      </c>
      <c r="D43" s="820">
        <v>3583071</v>
      </c>
      <c r="E43" s="840">
        <v>3873</v>
      </c>
      <c r="F43" s="840">
        <v>114.4</v>
      </c>
      <c r="G43" s="840">
        <v>188.6</v>
      </c>
      <c r="H43" s="985">
        <f t="shared" ref="H43" si="5">D43/G43</f>
        <v>18998.255567338281</v>
      </c>
      <c r="I43" s="821" t="s">
        <v>185</v>
      </c>
      <c r="J43" s="784">
        <f t="shared" si="3"/>
        <v>68858.399999999994</v>
      </c>
      <c r="K43" s="823"/>
      <c r="L43" s="812"/>
      <c r="M43" s="820">
        <v>3126813</v>
      </c>
      <c r="N43" s="717">
        <f t="shared" si="2"/>
        <v>456258</v>
      </c>
      <c r="O43" s="1005">
        <f>N43/M43</f>
        <v>0.1459179042686595</v>
      </c>
      <c r="P43" s="842">
        <v>3873</v>
      </c>
      <c r="Q43" s="804">
        <f t="shared" ref="Q43:Q44" si="6">E43-P43</f>
        <v>0</v>
      </c>
    </row>
    <row r="44" spans="1:20">
      <c r="A44" s="926">
        <v>56</v>
      </c>
      <c r="C44" s="929" t="s">
        <v>309</v>
      </c>
      <c r="D44" s="928">
        <v>153239</v>
      </c>
      <c r="E44" s="892">
        <v>278.89999999999998</v>
      </c>
      <c r="F44" s="892">
        <v>178.4</v>
      </c>
      <c r="G44" s="892">
        <v>0</v>
      </c>
      <c r="H44" s="985">
        <v>0</v>
      </c>
      <c r="I44" s="893"/>
      <c r="J44" s="784">
        <f t="shared" si="3"/>
        <v>9886.7999999999993</v>
      </c>
      <c r="K44" s="894"/>
      <c r="M44" s="928">
        <v>0</v>
      </c>
      <c r="N44" s="717">
        <f t="shared" si="2"/>
        <v>153239</v>
      </c>
      <c r="O44" s="1001" t="s">
        <v>339</v>
      </c>
      <c r="P44" s="892">
        <v>278.89999999999998</v>
      </c>
      <c r="Q44" s="804">
        <f t="shared" si="6"/>
        <v>0</v>
      </c>
    </row>
    <row r="45" spans="1:20" ht="18" customHeight="1" thickBot="1">
      <c r="A45" s="838">
        <v>58</v>
      </c>
      <c r="B45" s="839"/>
      <c r="C45" s="872" t="s">
        <v>310</v>
      </c>
      <c r="D45" s="820">
        <v>627082</v>
      </c>
      <c r="E45" s="840">
        <v>3425</v>
      </c>
      <c r="F45" s="840">
        <v>120.3</v>
      </c>
      <c r="G45" s="844">
        <v>63.3</v>
      </c>
      <c r="H45" s="986">
        <f>D45/G45</f>
        <v>9906.5086887835714</v>
      </c>
      <c r="I45" s="874" t="s">
        <v>185</v>
      </c>
      <c r="J45" s="787">
        <f>(G45*84)+6540+12*E45</f>
        <v>52957.2</v>
      </c>
      <c r="K45" s="875"/>
      <c r="L45" s="812"/>
      <c r="M45" s="820">
        <v>0</v>
      </c>
      <c r="N45" s="717">
        <f t="shared" si="2"/>
        <v>627082</v>
      </c>
      <c r="O45" s="1001" t="s">
        <v>339</v>
      </c>
      <c r="P45" s="850">
        <v>3425</v>
      </c>
      <c r="Q45" s="804">
        <f t="shared" si="1"/>
        <v>0</v>
      </c>
    </row>
    <row r="46" spans="1:20" s="860" customFormat="1" ht="18" customHeight="1" thickTop="1">
      <c r="A46" s="851"/>
      <c r="B46" s="852"/>
      <c r="C46" s="853" t="s">
        <v>282</v>
      </c>
      <c r="D46" s="899">
        <f>SUM(D33:D45)</f>
        <v>29675050</v>
      </c>
      <c r="E46" s="900">
        <f>SUM(E33:E45)</f>
        <v>103962.19999999998</v>
      </c>
      <c r="F46" s="900">
        <f>SUM(F33:F45)</f>
        <v>2164.3000000000002</v>
      </c>
      <c r="G46" s="861">
        <f>SUM(G33:G45)</f>
        <v>1590.3999999999999</v>
      </c>
      <c r="H46" s="964"/>
      <c r="I46" s="856" t="s">
        <v>185</v>
      </c>
      <c r="J46" s="783">
        <f>SUM(J33:J45)</f>
        <v>1466159.9999999998</v>
      </c>
      <c r="K46" s="857"/>
      <c r="L46" s="858"/>
      <c r="M46" s="897">
        <f>SUM(M33:M45)</f>
        <v>28672957</v>
      </c>
      <c r="N46" s="899">
        <f t="shared" si="2"/>
        <v>1002093</v>
      </c>
      <c r="O46" s="910">
        <f>N46/M46</f>
        <v>3.4949063676969205E-2</v>
      </c>
      <c r="P46" s="900">
        <f>SUM(P33:P45)</f>
        <v>103962.19999999998</v>
      </c>
      <c r="Q46" s="862"/>
      <c r="S46" s="927"/>
      <c r="T46" s="927"/>
    </row>
    <row r="47" spans="1:20" ht="18" customHeight="1">
      <c r="A47" s="829" t="s">
        <v>86</v>
      </c>
      <c r="B47" s="830"/>
      <c r="C47" s="831"/>
      <c r="D47" s="820"/>
      <c r="E47" s="840"/>
      <c r="F47" s="840"/>
      <c r="G47" s="833"/>
      <c r="H47" s="961"/>
      <c r="I47" s="834"/>
      <c r="J47" s="786"/>
      <c r="K47" s="836"/>
      <c r="L47" s="812"/>
      <c r="M47" s="820"/>
      <c r="N47" s="717"/>
      <c r="O47" s="910"/>
      <c r="P47" s="837"/>
    </row>
    <row r="48" spans="1:20" ht="18" customHeight="1" thickBot="1">
      <c r="A48" s="901" t="s">
        <v>252</v>
      </c>
      <c r="B48" s="902"/>
      <c r="C48" s="930" t="s">
        <v>139</v>
      </c>
      <c r="D48" s="843">
        <v>1958835</v>
      </c>
      <c r="E48" s="844">
        <v>6219</v>
      </c>
      <c r="F48" s="844">
        <v>35.700000000000003</v>
      </c>
      <c r="G48" s="844">
        <v>114.5</v>
      </c>
      <c r="H48" s="982">
        <f>D48/G48</f>
        <v>17107.72925764192</v>
      </c>
      <c r="I48" s="874" t="s">
        <v>185</v>
      </c>
      <c r="J48" s="791">
        <f>(G48*84)+6540+12*E48</f>
        <v>90786</v>
      </c>
      <c r="K48" s="875"/>
      <c r="L48" s="812"/>
      <c r="M48" s="843">
        <v>1712679</v>
      </c>
      <c r="N48" s="849">
        <f>D48-M48</f>
        <v>246156</v>
      </c>
      <c r="O48" s="1005">
        <f>N48/M48</f>
        <v>0.14372570691880965</v>
      </c>
      <c r="P48" s="850">
        <v>6219</v>
      </c>
      <c r="Q48" s="804">
        <f t="shared" si="1"/>
        <v>0</v>
      </c>
      <c r="R48" s="879"/>
    </row>
    <row r="49" spans="1:20" ht="20.25" thickTop="1" thickBot="1">
      <c r="A49" s="1942" t="s">
        <v>44</v>
      </c>
      <c r="B49" s="1943"/>
      <c r="C49" s="1944"/>
      <c r="D49" s="975">
        <f>SUM(D4,D6,D11,D15,D19,D23,D27,D31,D46,D48)</f>
        <v>43633881</v>
      </c>
      <c r="E49" s="911">
        <f>SUM(E4,E6,E11,E15,E19,E23,E27,E31,E46,E48)</f>
        <v>196733.89999999997</v>
      </c>
      <c r="F49" s="911">
        <f>SUM(F4,F6,F11,F15,F19,F23,F27,F31,F46,F48)</f>
        <v>3369.32</v>
      </c>
      <c r="G49" s="911">
        <f>SUM(G4,G6,G11,G15,G19,G23,G27,G31,G46,G48)</f>
        <v>2651.71</v>
      </c>
      <c r="H49" s="976">
        <f>D49/G49</f>
        <v>16454.997341338232</v>
      </c>
      <c r="I49" s="906" t="s">
        <v>185</v>
      </c>
      <c r="J49" s="981">
        <f>SUM(J4,J6,J11,J15,J19,J23,J27,J31,J46,J48)</f>
        <v>2773210.4399999995</v>
      </c>
      <c r="K49" s="908"/>
      <c r="M49" s="904">
        <f>SUM(M2,M4,M9,M13,M15,M19,M23,M27,M31,M46,M48)</f>
        <v>42449594</v>
      </c>
      <c r="N49" s="942">
        <f>D49-M49</f>
        <v>1184287</v>
      </c>
      <c r="O49" s="910">
        <f>N49/M49</f>
        <v>2.7898664943650581E-2</v>
      </c>
      <c r="P49" s="911">
        <f>SUM(P4,P6,P11,P15,,P19,P23,P27,P31,P46,P48)</f>
        <v>196733</v>
      </c>
      <c r="Q49" s="804">
        <f t="shared" si="1"/>
        <v>0.8999999999650754</v>
      </c>
      <c r="R49" s="912">
        <f>Q49/P49</f>
        <v>4.5747281847228242E-6</v>
      </c>
      <c r="S49" s="793"/>
      <c r="T49" s="793"/>
    </row>
    <row r="50" spans="1:20">
      <c r="G50" s="915"/>
      <c r="H50" s="916"/>
      <c r="I50" s="917"/>
      <c r="K50" s="917"/>
      <c r="O50" s="919"/>
      <c r="P50" s="915"/>
      <c r="S50" s="793"/>
      <c r="T50" s="793"/>
    </row>
    <row r="51" spans="1:20">
      <c r="N51" s="921"/>
      <c r="S51" s="793"/>
      <c r="T51" s="793"/>
    </row>
    <row r="52" spans="1:20">
      <c r="F52" s="922" t="s">
        <v>318</v>
      </c>
      <c r="G52" s="914">
        <f>G49-'SUM2013'!G51</f>
        <v>146.61000000000013</v>
      </c>
      <c r="J52" s="918">
        <f>(29*6540)+(E49*12)+(G49*84)</f>
        <v>2773210.44</v>
      </c>
      <c r="N52" s="912"/>
      <c r="S52" s="793"/>
      <c r="T52" s="793"/>
    </row>
    <row r="53" spans="1:20">
      <c r="F53" s="922" t="s">
        <v>319</v>
      </c>
      <c r="G53" s="923">
        <f>G52/'SUM2013'!G51</f>
        <v>5.8524609796016182E-2</v>
      </c>
      <c r="J53" s="918">
        <f>J52-J49</f>
        <v>0</v>
      </c>
      <c r="K53" s="924" t="s">
        <v>283</v>
      </c>
      <c r="S53" s="793"/>
      <c r="T53" s="793"/>
    </row>
    <row r="55" spans="1:20">
      <c r="N55" s="925"/>
      <c r="S55" s="793"/>
      <c r="T55" s="793"/>
    </row>
  </sheetData>
  <mergeCells count="16">
    <mergeCell ref="O1:O2"/>
    <mergeCell ref="P1:P2"/>
    <mergeCell ref="Q1:Q2"/>
    <mergeCell ref="A49:C49"/>
    <mergeCell ref="H1:H2"/>
    <mergeCell ref="I1:I2"/>
    <mergeCell ref="J1:J2"/>
    <mergeCell ref="K1:K2"/>
    <mergeCell ref="M1:M2"/>
    <mergeCell ref="N1:N2"/>
    <mergeCell ref="A1:B2"/>
    <mergeCell ref="C1:C2"/>
    <mergeCell ref="D1:D2"/>
    <mergeCell ref="E1:E2"/>
    <mergeCell ref="F1:F2"/>
    <mergeCell ref="G1:G2"/>
  </mergeCells>
  <pageMargins left="0.45" right="0.45" top="1.25" bottom="0.75" header="0.8" footer="0.8"/>
  <pageSetup scale="62" orientation="portrait" r:id="rId1"/>
  <headerFooter>
    <oddHeader>&amp;C&amp;"Arial,Bold"&amp;14Summary of 2014 Annual Coal Production and Acres Bonded, Disturbed and Mined</oddHeader>
    <oddFooter>&amp;L&amp;D</oddFooter>
  </headerFooter>
  <ignoredErrors>
    <ignoredError sqref="O27 O23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7"/>
  <sheetViews>
    <sheetView zoomScale="61" zoomScaleNormal="61" workbookViewId="0">
      <pane xSplit="3" ySplit="2" topLeftCell="D3" activePane="bottomRight" state="frozen"/>
      <selection activeCell="E51" sqref="E51"/>
      <selection pane="topRight" activeCell="E51" sqref="E51"/>
      <selection pane="bottomLeft" activeCell="E51" sqref="E51"/>
      <selection pane="bottomRight" activeCell="E51" sqref="E51"/>
    </sheetView>
  </sheetViews>
  <sheetFormatPr defaultColWidth="9.140625" defaultRowHeight="18.75"/>
  <cols>
    <col min="1" max="1" width="11.28515625" style="891" customWidth="1"/>
    <col min="2" max="2" width="2.42578125" style="891" customWidth="1"/>
    <col min="3" max="3" width="33.140625" style="891" customWidth="1"/>
    <col min="4" max="4" width="20" style="913" customWidth="1"/>
    <col min="5" max="5" width="16.140625" style="914" customWidth="1"/>
    <col min="6" max="6" width="15.7109375" style="914" customWidth="1"/>
    <col min="7" max="7" width="16.140625" style="914" customWidth="1"/>
    <col min="8" max="8" width="16.140625" style="913" customWidth="1"/>
    <col min="9" max="9" width="3.140625" style="920" customWidth="1"/>
    <col min="10" max="10" width="17.85546875" style="918" customWidth="1"/>
    <col min="11" max="11" width="4" style="920" customWidth="1"/>
    <col min="12" max="12" width="5.85546875" style="891" customWidth="1"/>
    <col min="13" max="13" width="20" style="913" customWidth="1"/>
    <col min="14" max="14" width="18" style="793" customWidth="1"/>
    <col min="15" max="15" width="14.85546875" style="793" bestFit="1" customWidth="1"/>
    <col min="16" max="16" width="17.7109375" style="914" customWidth="1"/>
    <col min="17" max="17" width="12.85546875" style="804" bestFit="1" customWidth="1"/>
    <col min="18" max="18" width="11.5703125" style="793" bestFit="1" customWidth="1"/>
    <col min="19" max="19" width="21" style="921" bestFit="1" customWidth="1"/>
    <col min="20" max="20" width="16" style="921" bestFit="1" customWidth="1"/>
    <col min="21" max="16384" width="9.140625" style="793"/>
  </cols>
  <sheetData>
    <row r="1" spans="1:20" ht="18.75" customHeight="1">
      <c r="A1" s="1995" t="s">
        <v>6</v>
      </c>
      <c r="B1" s="1996"/>
      <c r="C1" s="1999" t="s">
        <v>162</v>
      </c>
      <c r="D1" s="2001" t="s">
        <v>327</v>
      </c>
      <c r="E1" s="2003" t="s">
        <v>289</v>
      </c>
      <c r="F1" s="2003" t="s">
        <v>187</v>
      </c>
      <c r="G1" s="2003" t="s">
        <v>288</v>
      </c>
      <c r="H1" s="1983" t="s">
        <v>238</v>
      </c>
      <c r="I1" s="1985" t="s">
        <v>184</v>
      </c>
      <c r="J1" s="2005" t="s">
        <v>164</v>
      </c>
      <c r="K1" s="1989" t="s">
        <v>184</v>
      </c>
      <c r="L1" s="792"/>
      <c r="M1" s="1991" t="s">
        <v>307</v>
      </c>
      <c r="N1" s="1993" t="s">
        <v>208</v>
      </c>
      <c r="O1" s="2007" t="s">
        <v>299</v>
      </c>
      <c r="P1" s="1980" t="s">
        <v>328</v>
      </c>
      <c r="Q1" s="1982"/>
    </row>
    <row r="2" spans="1:20" ht="19.5" customHeight="1" thickBot="1">
      <c r="A2" s="1997"/>
      <c r="B2" s="1998"/>
      <c r="C2" s="2000"/>
      <c r="D2" s="2002"/>
      <c r="E2" s="2004"/>
      <c r="F2" s="2004"/>
      <c r="G2" s="2004"/>
      <c r="H2" s="1984"/>
      <c r="I2" s="1986"/>
      <c r="J2" s="2006"/>
      <c r="K2" s="1990"/>
      <c r="L2" s="792"/>
      <c r="M2" s="1992"/>
      <c r="N2" s="1994"/>
      <c r="O2" s="2007"/>
      <c r="P2" s="1981"/>
      <c r="Q2" s="1982"/>
      <c r="S2" s="921" t="s">
        <v>320</v>
      </c>
    </row>
    <row r="3" spans="1:20">
      <c r="A3" s="794" t="s">
        <v>110</v>
      </c>
      <c r="B3" s="795"/>
      <c r="C3" s="796"/>
      <c r="D3" s="797"/>
      <c r="E3" s="798"/>
      <c r="F3" s="798"/>
      <c r="G3" s="798"/>
      <c r="H3" s="957"/>
      <c r="I3" s="799"/>
      <c r="J3" s="800"/>
      <c r="K3" s="801"/>
      <c r="L3" s="802"/>
      <c r="M3" s="797"/>
      <c r="N3" s="702"/>
      <c r="P3" s="803"/>
    </row>
    <row r="4" spans="1:20">
      <c r="A4" s="805" t="s">
        <v>249</v>
      </c>
      <c r="B4" s="806"/>
      <c r="C4" s="931" t="s">
        <v>125</v>
      </c>
      <c r="D4" s="807">
        <v>0</v>
      </c>
      <c r="E4" s="808">
        <v>10504</v>
      </c>
      <c r="F4" s="808">
        <v>0</v>
      </c>
      <c r="G4" s="808">
        <v>0</v>
      </c>
      <c r="H4" s="958">
        <v>0</v>
      </c>
      <c r="I4" s="809" t="s">
        <v>185</v>
      </c>
      <c r="J4" s="810">
        <f>(G4*84)+6540+12*E4</f>
        <v>132588</v>
      </c>
      <c r="K4" s="811"/>
      <c r="L4" s="812"/>
      <c r="M4" s="807">
        <v>0</v>
      </c>
      <c r="N4" s="813">
        <f>D4-M4</f>
        <v>0</v>
      </c>
      <c r="P4" s="814">
        <v>10504</v>
      </c>
      <c r="Q4" s="804">
        <f>E4-P4</f>
        <v>0</v>
      </c>
    </row>
    <row r="5" spans="1:20">
      <c r="A5" s="815" t="s">
        <v>246</v>
      </c>
      <c r="B5" s="816"/>
      <c r="C5" s="817"/>
      <c r="D5" s="818"/>
      <c r="E5" s="819"/>
      <c r="F5" s="819"/>
      <c r="G5" s="819"/>
      <c r="H5" s="959"/>
      <c r="I5" s="821"/>
      <c r="J5" s="822"/>
      <c r="K5" s="823"/>
      <c r="L5" s="812"/>
      <c r="M5" s="818"/>
      <c r="N5" s="824"/>
      <c r="P5" s="825"/>
    </row>
    <row r="6" spans="1:20">
      <c r="A6" s="805" t="s">
        <v>321</v>
      </c>
      <c r="B6" s="826"/>
      <c r="C6" s="931" t="s">
        <v>144</v>
      </c>
      <c r="D6" s="807">
        <v>0</v>
      </c>
      <c r="E6" s="808">
        <v>1413.6</v>
      </c>
      <c r="F6" s="808">
        <v>105.4</v>
      </c>
      <c r="G6" s="808">
        <v>0</v>
      </c>
      <c r="H6" s="960">
        <v>0</v>
      </c>
      <c r="I6" s="809" t="s">
        <v>185</v>
      </c>
      <c r="J6" s="828">
        <f>(G6*84)+6540+12*E6</f>
        <v>23503.199999999997</v>
      </c>
      <c r="K6" s="811"/>
      <c r="L6" s="812"/>
      <c r="M6" s="807">
        <v>0</v>
      </c>
      <c r="N6" s="813">
        <f>D6-M6</f>
        <v>0</v>
      </c>
      <c r="P6" s="814">
        <v>1413.6</v>
      </c>
      <c r="Q6" s="804">
        <f>E6-P6</f>
        <v>0</v>
      </c>
    </row>
    <row r="7" spans="1:20">
      <c r="A7" s="829" t="s">
        <v>147</v>
      </c>
      <c r="B7" s="830"/>
      <c r="C7" s="831"/>
      <c r="D7" s="832"/>
      <c r="E7" s="833"/>
      <c r="F7" s="833"/>
      <c r="G7" s="833"/>
      <c r="H7" s="961"/>
      <c r="I7" s="834"/>
      <c r="J7" s="835"/>
      <c r="K7" s="836"/>
      <c r="L7" s="812"/>
      <c r="M7" s="832"/>
      <c r="N7" s="710"/>
      <c r="P7" s="837"/>
    </row>
    <row r="8" spans="1:20">
      <c r="A8" s="838" t="s">
        <v>223</v>
      </c>
      <c r="B8" s="839"/>
      <c r="C8" s="872" t="s">
        <v>127</v>
      </c>
      <c r="D8" s="820">
        <v>0</v>
      </c>
      <c r="E8" s="840">
        <v>2474.8000000000002</v>
      </c>
      <c r="F8" s="840">
        <v>0</v>
      </c>
      <c r="G8" s="840">
        <v>0</v>
      </c>
      <c r="H8" s="962">
        <v>0</v>
      </c>
      <c r="I8" s="821" t="s">
        <v>185</v>
      </c>
      <c r="J8" s="822">
        <f>(G8*84)+6540+12*E8</f>
        <v>36237.600000000006</v>
      </c>
      <c r="K8" s="823"/>
      <c r="L8" s="812"/>
      <c r="M8" s="820">
        <v>0</v>
      </c>
      <c r="N8" s="717">
        <f>D8-M8</f>
        <v>0</v>
      </c>
      <c r="P8" s="842">
        <v>2474.8000000000002</v>
      </c>
      <c r="Q8" s="804">
        <f>E8-P8</f>
        <v>0</v>
      </c>
    </row>
    <row r="9" spans="1:20">
      <c r="A9" s="838" t="s">
        <v>224</v>
      </c>
      <c r="B9" s="839"/>
      <c r="C9" s="872" t="s">
        <v>128</v>
      </c>
      <c r="D9" s="820">
        <v>0</v>
      </c>
      <c r="E9" s="840">
        <v>615.9</v>
      </c>
      <c r="F9" s="840">
        <v>0</v>
      </c>
      <c r="G9" s="840">
        <v>0</v>
      </c>
      <c r="H9" s="959">
        <v>0</v>
      </c>
      <c r="I9" s="821" t="s">
        <v>185</v>
      </c>
      <c r="J9" s="822">
        <f>(G9*84)+6540+12*E9</f>
        <v>13930.8</v>
      </c>
      <c r="K9" s="823"/>
      <c r="L9" s="812"/>
      <c r="M9" s="820">
        <v>0</v>
      </c>
      <c r="N9" s="717">
        <f>D9-M9</f>
        <v>0</v>
      </c>
      <c r="P9" s="842">
        <v>615.9</v>
      </c>
      <c r="Q9" s="804">
        <f>E9-P9</f>
        <v>0</v>
      </c>
    </row>
    <row r="10" spans="1:20" ht="19.5" thickBot="1">
      <c r="A10" s="838" t="s">
        <v>291</v>
      </c>
      <c r="B10" s="839"/>
      <c r="C10" s="872" t="s">
        <v>177</v>
      </c>
      <c r="D10" s="843">
        <v>0</v>
      </c>
      <c r="E10" s="844">
        <v>531.9</v>
      </c>
      <c r="F10" s="844">
        <v>0</v>
      </c>
      <c r="G10" s="844">
        <v>0</v>
      </c>
      <c r="H10" s="963">
        <v>0</v>
      </c>
      <c r="I10" s="846" t="s">
        <v>185</v>
      </c>
      <c r="J10" s="847">
        <f>(G10*84)+6540+12*E10</f>
        <v>12922.8</v>
      </c>
      <c r="K10" s="848"/>
      <c r="L10" s="812"/>
      <c r="M10" s="843">
        <v>0</v>
      </c>
      <c r="N10" s="849">
        <f>D10-M10</f>
        <v>0</v>
      </c>
      <c r="P10" s="850">
        <v>531.9</v>
      </c>
      <c r="Q10" s="804">
        <f>E10-P10</f>
        <v>0</v>
      </c>
    </row>
    <row r="11" spans="1:20" s="860" customFormat="1" ht="19.5" thickTop="1">
      <c r="A11" s="851"/>
      <c r="B11" s="852"/>
      <c r="C11" s="853" t="s">
        <v>278</v>
      </c>
      <c r="D11" s="854">
        <f>SUM(D8:D10)</f>
        <v>0</v>
      </c>
      <c r="E11" s="855">
        <f>SUM(E8:E10)</f>
        <v>3622.6000000000004</v>
      </c>
      <c r="F11" s="855">
        <f>SUM(F8:F10)</f>
        <v>0</v>
      </c>
      <c r="G11" s="855">
        <f>SUM(G8:G10)</f>
        <v>0</v>
      </c>
      <c r="H11" s="964">
        <f>SUM(H8:H10)</f>
        <v>0</v>
      </c>
      <c r="I11" s="856" t="s">
        <v>185</v>
      </c>
      <c r="J11" s="810">
        <f>SUM(J8:J10)</f>
        <v>63091.200000000012</v>
      </c>
      <c r="K11" s="857"/>
      <c r="L11" s="858"/>
      <c r="M11" s="854">
        <f>SUM(M8:M10)</f>
        <v>0</v>
      </c>
      <c r="N11" s="859">
        <f>D11-M11</f>
        <v>0</v>
      </c>
      <c r="P11" s="861">
        <f>SUM(P8:P10)</f>
        <v>3622.6000000000004</v>
      </c>
      <c r="Q11" s="862"/>
      <c r="S11" s="927"/>
      <c r="T11" s="927"/>
    </row>
    <row r="12" spans="1:20">
      <c r="A12" s="815" t="s">
        <v>313</v>
      </c>
      <c r="B12" s="863"/>
      <c r="C12" s="864"/>
      <c r="D12" s="865"/>
      <c r="E12" s="866"/>
      <c r="F12" s="866"/>
      <c r="G12" s="866"/>
      <c r="H12" s="965"/>
      <c r="I12" s="867"/>
      <c r="J12" s="868"/>
      <c r="K12" s="869"/>
      <c r="L12" s="812"/>
      <c r="M12" s="865"/>
      <c r="N12" s="870"/>
      <c r="P12" s="842"/>
    </row>
    <row r="13" spans="1:20">
      <c r="A13" s="871">
        <v>57</v>
      </c>
      <c r="B13" s="863"/>
      <c r="C13" s="872" t="s">
        <v>314</v>
      </c>
      <c r="D13" s="820">
        <v>0</v>
      </c>
      <c r="E13" s="840">
        <v>80.8</v>
      </c>
      <c r="F13" s="840">
        <v>0</v>
      </c>
      <c r="G13" s="840">
        <v>0</v>
      </c>
      <c r="H13" s="959">
        <v>0</v>
      </c>
      <c r="I13" s="867" t="s">
        <v>185</v>
      </c>
      <c r="J13" s="937">
        <f>(G13*84)+6540+12*E13</f>
        <v>7509.6</v>
      </c>
      <c r="K13" s="869"/>
      <c r="L13" s="812"/>
      <c r="M13" s="865">
        <v>0</v>
      </c>
      <c r="N13" s="870">
        <f>D13-M13</f>
        <v>0</v>
      </c>
      <c r="P13" s="842">
        <v>80.8</v>
      </c>
      <c r="Q13" s="804">
        <f>E13-P13</f>
        <v>0</v>
      </c>
    </row>
    <row r="14" spans="1:20" ht="19.5" thickBot="1">
      <c r="A14" s="871">
        <v>59</v>
      </c>
      <c r="B14" s="863"/>
      <c r="C14" s="872" t="s">
        <v>326</v>
      </c>
      <c r="D14" s="843">
        <v>0</v>
      </c>
      <c r="E14" s="844">
        <v>970</v>
      </c>
      <c r="F14" s="844">
        <v>70.31</v>
      </c>
      <c r="G14" s="844">
        <v>0</v>
      </c>
      <c r="H14" s="966">
        <v>0</v>
      </c>
      <c r="I14" s="932" t="s">
        <v>185</v>
      </c>
      <c r="J14" s="938">
        <f>(G14*84)+6540+12*E14</f>
        <v>18180</v>
      </c>
      <c r="K14" s="933"/>
      <c r="L14" s="936"/>
      <c r="M14" s="940"/>
      <c r="N14" s="934">
        <f>D14-M14</f>
        <v>0</v>
      </c>
      <c r="O14" s="935"/>
      <c r="P14" s="850">
        <v>970</v>
      </c>
      <c r="Q14" s="804">
        <f>E14-P14</f>
        <v>0</v>
      </c>
    </row>
    <row r="15" spans="1:20" ht="19.5" thickTop="1">
      <c r="A15" s="871"/>
      <c r="B15" s="863"/>
      <c r="C15" s="864" t="s">
        <v>325</v>
      </c>
      <c r="D15" s="820">
        <f>SUM(D13:D14)</f>
        <v>0</v>
      </c>
      <c r="E15" s="840">
        <f t="shared" ref="E15:H15" si="0">SUM(E13:E14)</f>
        <v>1050.8</v>
      </c>
      <c r="F15" s="840">
        <f t="shared" si="0"/>
        <v>70.31</v>
      </c>
      <c r="G15" s="840">
        <f t="shared" si="0"/>
        <v>0</v>
      </c>
      <c r="H15" s="959">
        <f t="shared" si="0"/>
        <v>0</v>
      </c>
      <c r="I15" s="834"/>
      <c r="J15" s="873">
        <f>SUM(J13:J14)</f>
        <v>25689.599999999999</v>
      </c>
      <c r="K15" s="836"/>
      <c r="L15" s="812"/>
      <c r="M15" s="939">
        <f>SUM(M13:M14)</f>
        <v>0</v>
      </c>
      <c r="N15" s="870"/>
      <c r="P15" s="842">
        <f>SUM(P13:P14)</f>
        <v>1050.8</v>
      </c>
    </row>
    <row r="16" spans="1:20">
      <c r="A16" s="829" t="s">
        <v>72</v>
      </c>
      <c r="B16" s="830"/>
      <c r="C16" s="831"/>
      <c r="D16" s="832"/>
      <c r="E16" s="833"/>
      <c r="F16" s="833"/>
      <c r="G16" s="833"/>
      <c r="H16" s="961"/>
      <c r="I16" s="834"/>
      <c r="J16" s="873"/>
      <c r="K16" s="836"/>
      <c r="L16" s="812"/>
      <c r="M16" s="832"/>
      <c r="N16" s="710"/>
      <c r="P16" s="837"/>
    </row>
    <row r="17" spans="1:20">
      <c r="A17" s="805" t="s">
        <v>226</v>
      </c>
      <c r="B17" s="806"/>
      <c r="C17" s="931" t="s">
        <v>131</v>
      </c>
      <c r="D17" s="807">
        <v>0</v>
      </c>
      <c r="E17" s="808">
        <v>437</v>
      </c>
      <c r="F17" s="808">
        <v>0</v>
      </c>
      <c r="G17" s="808">
        <v>0</v>
      </c>
      <c r="H17" s="960">
        <v>0</v>
      </c>
      <c r="I17" s="809" t="s">
        <v>185</v>
      </c>
      <c r="J17" s="828">
        <f>(G17*84)+6540+12*E17</f>
        <v>11784</v>
      </c>
      <c r="K17" s="811"/>
      <c r="L17" s="812"/>
      <c r="M17" s="807">
        <v>0</v>
      </c>
      <c r="N17" s="813">
        <f>D17-M17</f>
        <v>0</v>
      </c>
      <c r="P17" s="814">
        <v>437</v>
      </c>
      <c r="Q17" s="804">
        <f t="shared" ref="Q17:Q51" si="1">E17-P17</f>
        <v>0</v>
      </c>
    </row>
    <row r="18" spans="1:20">
      <c r="A18" s="829" t="s">
        <v>180</v>
      </c>
      <c r="B18" s="830"/>
      <c r="C18" s="831"/>
      <c r="D18" s="832"/>
      <c r="E18" s="833"/>
      <c r="F18" s="833"/>
      <c r="G18" s="833"/>
      <c r="H18" s="961"/>
      <c r="I18" s="834"/>
      <c r="J18" s="835"/>
      <c r="K18" s="836"/>
      <c r="L18" s="812"/>
      <c r="M18" s="832"/>
      <c r="N18" s="710"/>
      <c r="P18" s="837"/>
    </row>
    <row r="19" spans="1:20">
      <c r="A19" s="838" t="s">
        <v>227</v>
      </c>
      <c r="B19" s="839"/>
      <c r="C19" s="872" t="s">
        <v>132</v>
      </c>
      <c r="D19" s="820">
        <v>2937817</v>
      </c>
      <c r="E19" s="840">
        <v>15180.3</v>
      </c>
      <c r="F19" s="840">
        <v>303.3</v>
      </c>
      <c r="G19" s="840">
        <v>108.8</v>
      </c>
      <c r="H19" s="959">
        <f>D19/G19</f>
        <v>27001.994485294119</v>
      </c>
      <c r="I19" s="821" t="s">
        <v>185</v>
      </c>
      <c r="J19" s="822">
        <f>(G19*84)+6540+12*E19</f>
        <v>197842.8</v>
      </c>
      <c r="K19" s="823"/>
      <c r="L19" s="812"/>
      <c r="M19" s="820">
        <v>1546804</v>
      </c>
      <c r="N19" s="717">
        <f>D19-M19</f>
        <v>1391013</v>
      </c>
      <c r="O19" s="910">
        <f>N19/M19</f>
        <v>0.8992820034083181</v>
      </c>
      <c r="P19" s="842">
        <v>15180.3</v>
      </c>
      <c r="Q19" s="804">
        <f t="shared" si="1"/>
        <v>0</v>
      </c>
    </row>
    <row r="20" spans="1:20" ht="19.5" thickBot="1">
      <c r="A20" s="838" t="s">
        <v>253</v>
      </c>
      <c r="B20" s="839"/>
      <c r="C20" s="872" t="s">
        <v>157</v>
      </c>
      <c r="D20" s="843">
        <v>2040482</v>
      </c>
      <c r="E20" s="844">
        <v>5320.7</v>
      </c>
      <c r="F20" s="844">
        <v>158.9</v>
      </c>
      <c r="G20" s="844">
        <v>124.4</v>
      </c>
      <c r="H20" s="966">
        <f>D20/G20</f>
        <v>16402.588424437297</v>
      </c>
      <c r="I20" s="874" t="s">
        <v>185</v>
      </c>
      <c r="J20" s="847">
        <f>ROUNDUP((G20*84)+6540+12*E20,2)</f>
        <v>80838</v>
      </c>
      <c r="K20" s="875"/>
      <c r="L20" s="812"/>
      <c r="M20" s="843">
        <v>2680975</v>
      </c>
      <c r="N20" s="849">
        <f>D20-M20</f>
        <v>-640493</v>
      </c>
      <c r="O20" s="910">
        <f>N20/M20</f>
        <v>-0.23890301103143446</v>
      </c>
      <c r="P20" s="850">
        <v>5320.7</v>
      </c>
      <c r="Q20" s="804">
        <f t="shared" si="1"/>
        <v>0</v>
      </c>
    </row>
    <row r="21" spans="1:20" s="860" customFormat="1" ht="18" customHeight="1" thickTop="1">
      <c r="A21" s="851"/>
      <c r="B21" s="852"/>
      <c r="C21" s="853" t="s">
        <v>279</v>
      </c>
      <c r="D21" s="854">
        <f>SUM(D19:D20)</f>
        <v>4978299</v>
      </c>
      <c r="E21" s="855">
        <f>SUM(E19:E20)</f>
        <v>20501</v>
      </c>
      <c r="F21" s="855">
        <f>SUM(F19:F20)</f>
        <v>462.20000000000005</v>
      </c>
      <c r="G21" s="855">
        <f>SUM(G19:G20)</f>
        <v>233.2</v>
      </c>
      <c r="H21" s="964"/>
      <c r="I21" s="876" t="s">
        <v>185</v>
      </c>
      <c r="J21" s="828">
        <f>ROUNDUP(SUM(J19:J20),2)</f>
        <v>278680.8</v>
      </c>
      <c r="K21" s="877"/>
      <c r="L21" s="858"/>
      <c r="M21" s="854">
        <f>SUM(M19:M20)</f>
        <v>4227779</v>
      </c>
      <c r="N21" s="859">
        <f>D21-M21</f>
        <v>750520</v>
      </c>
      <c r="O21" s="910">
        <f>N21/M21</f>
        <v>0.1775211050530314</v>
      </c>
      <c r="P21" s="861">
        <f>SUM(P19:P20)</f>
        <v>20501</v>
      </c>
      <c r="Q21" s="862"/>
      <c r="S21" s="927"/>
      <c r="T21" s="927"/>
    </row>
    <row r="22" spans="1:20" ht="18" customHeight="1">
      <c r="A22" s="829" t="s">
        <v>75</v>
      </c>
      <c r="B22" s="830"/>
      <c r="C22" s="831"/>
      <c r="D22" s="832"/>
      <c r="E22" s="833"/>
      <c r="F22" s="833"/>
      <c r="G22" s="833"/>
      <c r="H22" s="961"/>
      <c r="I22" s="834"/>
      <c r="J22" s="835"/>
      <c r="K22" s="836"/>
      <c r="L22" s="812"/>
      <c r="M22" s="832"/>
      <c r="N22" s="710"/>
      <c r="O22" s="910"/>
      <c r="P22" s="837"/>
      <c r="R22" s="878"/>
    </row>
    <row r="23" spans="1:20" ht="18" customHeight="1">
      <c r="A23" s="838" t="s">
        <v>290</v>
      </c>
      <c r="B23" s="839"/>
      <c r="C23" s="872" t="s">
        <v>216</v>
      </c>
      <c r="D23" s="820">
        <v>2449350</v>
      </c>
      <c r="E23" s="840">
        <v>19166.8</v>
      </c>
      <c r="F23" s="840">
        <v>205.7</v>
      </c>
      <c r="G23" s="840">
        <v>187.7</v>
      </c>
      <c r="H23" s="959">
        <f>D23/G23</f>
        <v>13049.280767181674</v>
      </c>
      <c r="I23" s="821" t="s">
        <v>185</v>
      </c>
      <c r="J23" s="822">
        <f>(G23*84)+6540+12*E23</f>
        <v>252308.39999999997</v>
      </c>
      <c r="K23" s="823"/>
      <c r="L23" s="812"/>
      <c r="M23" s="820">
        <v>3548916</v>
      </c>
      <c r="N23" s="717">
        <f>D23-M23</f>
        <v>-1099566</v>
      </c>
      <c r="O23" s="910">
        <f>N23/M23</f>
        <v>-0.30983150911433238</v>
      </c>
      <c r="P23" s="842">
        <v>19166.8</v>
      </c>
      <c r="Q23" s="804">
        <f t="shared" si="1"/>
        <v>0</v>
      </c>
      <c r="R23" s="879"/>
    </row>
    <row r="24" spans="1:20" ht="18" customHeight="1" thickBot="1">
      <c r="A24" s="838">
        <v>55</v>
      </c>
      <c r="B24" s="839"/>
      <c r="C24" s="872" t="s">
        <v>293</v>
      </c>
      <c r="D24" s="843">
        <v>1464027</v>
      </c>
      <c r="E24" s="844">
        <v>2811</v>
      </c>
      <c r="F24" s="844">
        <v>232.1</v>
      </c>
      <c r="G24" s="844">
        <v>148.30000000000001</v>
      </c>
      <c r="H24" s="966">
        <f>D24/G24</f>
        <v>9872.0633850303439</v>
      </c>
      <c r="I24" s="874" t="s">
        <v>185</v>
      </c>
      <c r="J24" s="847">
        <f>(G24*84)+6540+12*E24</f>
        <v>52729.2</v>
      </c>
      <c r="K24" s="875"/>
      <c r="L24" s="812"/>
      <c r="M24" s="843">
        <v>288978</v>
      </c>
      <c r="N24" s="849">
        <f>D24-M24</f>
        <v>1175049</v>
      </c>
      <c r="O24" s="910">
        <f t="shared" ref="O24:O45" si="2">N24/M24</f>
        <v>4.0662230342794263</v>
      </c>
      <c r="P24" s="850">
        <v>2811</v>
      </c>
      <c r="Q24" s="804">
        <f t="shared" si="1"/>
        <v>0</v>
      </c>
      <c r="R24" s="879"/>
    </row>
    <row r="25" spans="1:20" s="860" customFormat="1" ht="18" customHeight="1" thickTop="1">
      <c r="A25" s="880"/>
      <c r="B25" s="881"/>
      <c r="C25" s="864" t="s">
        <v>294</v>
      </c>
      <c r="D25" s="865">
        <f>SUM(D23:D24)</f>
        <v>3913377</v>
      </c>
      <c r="E25" s="866">
        <f>SUM(E23:E24)</f>
        <v>21977.8</v>
      </c>
      <c r="F25" s="866">
        <f>SUM(F23:F24)</f>
        <v>437.79999999999995</v>
      </c>
      <c r="G25" s="866">
        <f>SUM(G23:G24)</f>
        <v>336</v>
      </c>
      <c r="H25" s="965"/>
      <c r="I25" s="882" t="s">
        <v>185</v>
      </c>
      <c r="J25" s="883">
        <f>SUM(J23:J24)</f>
        <v>305037.59999999998</v>
      </c>
      <c r="K25" s="884"/>
      <c r="L25" s="858"/>
      <c r="M25" s="865">
        <f>SUM(M23:M24)</f>
        <v>3837894</v>
      </c>
      <c r="N25" s="870">
        <f>SUM(N23:N24)</f>
        <v>75483</v>
      </c>
      <c r="O25" s="910">
        <f t="shared" si="2"/>
        <v>1.9667817818835018E-2</v>
      </c>
      <c r="P25" s="885">
        <f>SUM(P23:P24)</f>
        <v>21977.8</v>
      </c>
      <c r="Q25" s="862"/>
      <c r="R25" s="886"/>
      <c r="S25" s="927"/>
      <c r="T25" s="927"/>
    </row>
    <row r="26" spans="1:20" ht="18" customHeight="1">
      <c r="A26" s="829" t="s">
        <v>77</v>
      </c>
      <c r="B26" s="830"/>
      <c r="C26" s="831"/>
      <c r="D26" s="832"/>
      <c r="E26" s="833"/>
      <c r="F26" s="833"/>
      <c r="G26" s="833"/>
      <c r="H26" s="961"/>
      <c r="I26" s="834"/>
      <c r="J26" s="835"/>
      <c r="K26" s="836"/>
      <c r="L26" s="812"/>
      <c r="M26" s="832"/>
      <c r="N26" s="832"/>
      <c r="O26" s="910"/>
      <c r="P26" s="837"/>
      <c r="R26" s="879"/>
    </row>
    <row r="27" spans="1:20" ht="18" customHeight="1">
      <c r="A27" s="838" t="s">
        <v>322</v>
      </c>
      <c r="B27" s="839"/>
      <c r="C27" s="872" t="s">
        <v>151</v>
      </c>
      <c r="D27" s="820">
        <v>675503</v>
      </c>
      <c r="E27" s="840">
        <v>9805</v>
      </c>
      <c r="F27" s="840">
        <v>32.4</v>
      </c>
      <c r="G27" s="840">
        <v>43.9</v>
      </c>
      <c r="H27" s="959">
        <f>D27/G27</f>
        <v>15387.312072892939</v>
      </c>
      <c r="I27" s="821" t="s">
        <v>185</v>
      </c>
      <c r="J27" s="822">
        <f>(G27*84)+6540+12*E27</f>
        <v>127887.6</v>
      </c>
      <c r="K27" s="823"/>
      <c r="L27" s="812"/>
      <c r="M27" s="820">
        <v>759991</v>
      </c>
      <c r="N27" s="820">
        <f>D27-M27</f>
        <v>-84488</v>
      </c>
      <c r="O27" s="910">
        <f t="shared" si="2"/>
        <v>-0.11116973753636557</v>
      </c>
      <c r="P27" s="842">
        <v>9805</v>
      </c>
      <c r="Q27" s="804">
        <f t="shared" si="1"/>
        <v>0</v>
      </c>
      <c r="R27" s="879"/>
    </row>
    <row r="28" spans="1:20" ht="18" customHeight="1" thickBot="1">
      <c r="A28" s="838" t="s">
        <v>323</v>
      </c>
      <c r="B28" s="839"/>
      <c r="C28" s="872" t="s">
        <v>244</v>
      </c>
      <c r="D28" s="843">
        <v>2496779</v>
      </c>
      <c r="E28" s="844">
        <v>3432.1</v>
      </c>
      <c r="F28" s="844">
        <v>142.1</v>
      </c>
      <c r="G28" s="844">
        <v>291</v>
      </c>
      <c r="H28" s="966">
        <f>D28/G28</f>
        <v>8579.9965635738827</v>
      </c>
      <c r="I28" s="874" t="s">
        <v>185</v>
      </c>
      <c r="J28" s="847">
        <f>(G28*84)+6540+12*E28</f>
        <v>72169.2</v>
      </c>
      <c r="K28" s="875"/>
      <c r="L28" s="812"/>
      <c r="M28" s="843">
        <v>2549989</v>
      </c>
      <c r="N28" s="843">
        <f>D28-M28</f>
        <v>-53210</v>
      </c>
      <c r="O28" s="910">
        <f t="shared" si="2"/>
        <v>-2.0866756680126854E-2</v>
      </c>
      <c r="P28" s="850">
        <v>3432.1</v>
      </c>
      <c r="Q28" s="804">
        <f t="shared" si="1"/>
        <v>0</v>
      </c>
      <c r="R28" s="879"/>
    </row>
    <row r="29" spans="1:20" s="860" customFormat="1" ht="18" customHeight="1" thickTop="1">
      <c r="A29" s="880"/>
      <c r="B29" s="881"/>
      <c r="C29" s="864" t="s">
        <v>280</v>
      </c>
      <c r="D29" s="865">
        <f>SUM(D27:D28)</f>
        <v>3172282</v>
      </c>
      <c r="E29" s="866">
        <f>SUM(E27:E28)</f>
        <v>13237.1</v>
      </c>
      <c r="F29" s="866">
        <f>SUM(F27:F28)</f>
        <v>174.5</v>
      </c>
      <c r="G29" s="866">
        <f>SUM(G27:G28)</f>
        <v>334.9</v>
      </c>
      <c r="H29" s="965"/>
      <c r="I29" s="882" t="s">
        <v>185</v>
      </c>
      <c r="J29" s="883">
        <f>SUM(J27:J28)</f>
        <v>200056.8</v>
      </c>
      <c r="K29" s="884"/>
      <c r="L29" s="858"/>
      <c r="M29" s="865">
        <f>SUM(M27:M28)</f>
        <v>3309980</v>
      </c>
      <c r="N29" s="865">
        <f>SUM(N27:N28)</f>
        <v>-137698</v>
      </c>
      <c r="O29" s="910">
        <f t="shared" si="2"/>
        <v>-4.160085559429362E-2</v>
      </c>
      <c r="P29" s="885">
        <f>SUM(P27:P28)</f>
        <v>13237.1</v>
      </c>
      <c r="Q29" s="862"/>
      <c r="R29" s="887"/>
      <c r="S29" s="927"/>
      <c r="T29" s="927"/>
    </row>
    <row r="30" spans="1:20" ht="18" customHeight="1">
      <c r="A30" s="829" t="s">
        <v>78</v>
      </c>
      <c r="B30" s="830"/>
      <c r="C30" s="831"/>
      <c r="D30" s="832"/>
      <c r="E30" s="833"/>
      <c r="F30" s="833"/>
      <c r="G30" s="833"/>
      <c r="H30" s="961"/>
      <c r="I30" s="834"/>
      <c r="J30" s="835"/>
      <c r="K30" s="836"/>
      <c r="L30" s="812"/>
      <c r="M30" s="832"/>
      <c r="N30" s="710"/>
      <c r="O30" s="910"/>
      <c r="P30" s="837"/>
      <c r="R30" s="878"/>
    </row>
    <row r="31" spans="1:20" ht="18" customHeight="1">
      <c r="A31" s="838" t="s">
        <v>230</v>
      </c>
      <c r="B31" s="839"/>
      <c r="C31" s="872" t="s">
        <v>134</v>
      </c>
      <c r="D31" s="820">
        <v>0</v>
      </c>
      <c r="E31" s="840">
        <v>6385.6</v>
      </c>
      <c r="F31" s="840">
        <v>0</v>
      </c>
      <c r="G31" s="840">
        <v>0</v>
      </c>
      <c r="H31" s="959">
        <v>0</v>
      </c>
      <c r="I31" s="821" t="s">
        <v>185</v>
      </c>
      <c r="J31" s="822">
        <f>(G31*84)+6540+12*E31</f>
        <v>83167.200000000012</v>
      </c>
      <c r="K31" s="823"/>
      <c r="L31" s="812"/>
      <c r="M31" s="820">
        <v>0</v>
      </c>
      <c r="N31" s="717">
        <f>D31-M31</f>
        <v>0</v>
      </c>
      <c r="O31" s="910"/>
      <c r="P31" s="842">
        <v>6385.6</v>
      </c>
      <c r="Q31" s="804">
        <f t="shared" si="1"/>
        <v>0</v>
      </c>
      <c r="R31" s="878"/>
    </row>
    <row r="32" spans="1:20" ht="18" customHeight="1" thickBot="1">
      <c r="A32" s="838" t="s">
        <v>231</v>
      </c>
      <c r="B32" s="839"/>
      <c r="C32" s="872" t="s">
        <v>178</v>
      </c>
      <c r="D32" s="843">
        <v>0</v>
      </c>
      <c r="E32" s="844">
        <v>1962.5</v>
      </c>
      <c r="F32" s="844">
        <v>0</v>
      </c>
      <c r="G32" s="844">
        <v>0</v>
      </c>
      <c r="H32" s="966">
        <v>0</v>
      </c>
      <c r="I32" s="874" t="s">
        <v>185</v>
      </c>
      <c r="J32" s="847">
        <f>(G32*84)+6540+12*E32</f>
        <v>30090</v>
      </c>
      <c r="K32" s="875"/>
      <c r="L32" s="812"/>
      <c r="M32" s="843">
        <v>0</v>
      </c>
      <c r="N32" s="849">
        <f>D32-M32</f>
        <v>0</v>
      </c>
      <c r="O32" s="910"/>
      <c r="P32" s="850">
        <v>1962.5</v>
      </c>
      <c r="Q32" s="804">
        <f t="shared" si="1"/>
        <v>0</v>
      </c>
    </row>
    <row r="33" spans="1:20" s="860" customFormat="1" ht="18" customHeight="1" thickTop="1">
      <c r="A33" s="851"/>
      <c r="B33" s="852"/>
      <c r="C33" s="853" t="s">
        <v>281</v>
      </c>
      <c r="D33" s="854">
        <f>SUM(D31:D32)</f>
        <v>0</v>
      </c>
      <c r="E33" s="855">
        <f>SUM(E31:E32)</f>
        <v>8348.1</v>
      </c>
      <c r="F33" s="855">
        <f>SUM(F31:F32)</f>
        <v>0</v>
      </c>
      <c r="G33" s="855">
        <f>SUM(G31:G32)</f>
        <v>0</v>
      </c>
      <c r="H33" s="964">
        <v>0</v>
      </c>
      <c r="I33" s="856" t="s">
        <v>185</v>
      </c>
      <c r="J33" s="888">
        <f>SUM(J31:J32)</f>
        <v>113257.20000000001</v>
      </c>
      <c r="K33" s="857"/>
      <c r="L33" s="858"/>
      <c r="M33" s="854">
        <f>SUM(M31:M32)</f>
        <v>0</v>
      </c>
      <c r="N33" s="859">
        <f>D33-M33</f>
        <v>0</v>
      </c>
      <c r="O33" s="910"/>
      <c r="P33" s="861">
        <f>SUM(P31:P32)</f>
        <v>8348.1</v>
      </c>
      <c r="Q33" s="862"/>
      <c r="S33" s="927"/>
      <c r="T33" s="927"/>
    </row>
    <row r="34" spans="1:20" ht="18" customHeight="1">
      <c r="A34" s="829" t="s">
        <v>219</v>
      </c>
      <c r="B34" s="830"/>
      <c r="C34" s="831"/>
      <c r="D34" s="832"/>
      <c r="E34" s="833"/>
      <c r="F34" s="833"/>
      <c r="G34" s="833"/>
      <c r="H34" s="961"/>
      <c r="I34" s="834"/>
      <c r="J34" s="835"/>
      <c r="K34" s="836"/>
      <c r="L34" s="812"/>
      <c r="M34" s="832"/>
      <c r="N34" s="710"/>
      <c r="O34" s="910"/>
      <c r="P34" s="837"/>
    </row>
    <row r="35" spans="1:20" ht="18" customHeight="1">
      <c r="A35" s="838" t="s">
        <v>311</v>
      </c>
      <c r="B35" s="839"/>
      <c r="C35" s="872" t="s">
        <v>136</v>
      </c>
      <c r="D35" s="820">
        <v>0</v>
      </c>
      <c r="E35" s="840">
        <v>6017</v>
      </c>
      <c r="F35" s="840">
        <v>0</v>
      </c>
      <c r="G35" s="840">
        <v>0</v>
      </c>
      <c r="H35" s="959">
        <v>0</v>
      </c>
      <c r="I35" s="821" t="s">
        <v>185</v>
      </c>
      <c r="J35" s="822">
        <f>(G35*84)+6540+12*E35</f>
        <v>78744</v>
      </c>
      <c r="K35" s="823"/>
      <c r="L35" s="812"/>
      <c r="M35" s="820">
        <v>0</v>
      </c>
      <c r="N35" s="717">
        <f>D35-M35</f>
        <v>0</v>
      </c>
      <c r="O35" s="910"/>
      <c r="P35" s="842">
        <v>6017</v>
      </c>
      <c r="Q35" s="804">
        <f t="shared" si="1"/>
        <v>0</v>
      </c>
    </row>
    <row r="36" spans="1:20" ht="18" customHeight="1">
      <c r="A36" s="838" t="s">
        <v>269</v>
      </c>
      <c r="B36" s="839"/>
      <c r="C36" s="872" t="s">
        <v>143</v>
      </c>
      <c r="D36" s="820">
        <v>4416772</v>
      </c>
      <c r="E36" s="840">
        <v>17221.099999999999</v>
      </c>
      <c r="F36" s="840">
        <v>105.8</v>
      </c>
      <c r="G36" s="840">
        <v>259.39999999999998</v>
      </c>
      <c r="H36" s="959">
        <f>D36/G36</f>
        <v>17026.877409406323</v>
      </c>
      <c r="I36" s="821" t="s">
        <v>185</v>
      </c>
      <c r="J36" s="822">
        <f t="shared" ref="J36:J46" si="3">(G36*84)+6540+12*E36</f>
        <v>234982.8</v>
      </c>
      <c r="K36" s="823"/>
      <c r="L36" s="812"/>
      <c r="M36" s="820">
        <v>5305315</v>
      </c>
      <c r="N36" s="717">
        <f t="shared" ref="N36:N46" si="4">D36-M36</f>
        <v>-888543</v>
      </c>
      <c r="O36" s="910">
        <f t="shared" si="2"/>
        <v>-0.16748166696982178</v>
      </c>
      <c r="P36" s="842">
        <v>17221.099999999999</v>
      </c>
      <c r="Q36" s="804">
        <f t="shared" si="1"/>
        <v>0</v>
      </c>
    </row>
    <row r="37" spans="1:20" ht="18" customHeight="1">
      <c r="A37" s="838" t="s">
        <v>324</v>
      </c>
      <c r="B37" s="839"/>
      <c r="C37" s="872" t="s">
        <v>137</v>
      </c>
      <c r="D37" s="820">
        <v>3528785</v>
      </c>
      <c r="E37" s="840">
        <v>20969</v>
      </c>
      <c r="F37" s="840">
        <v>142</v>
      </c>
      <c r="G37" s="840">
        <v>335.9</v>
      </c>
      <c r="H37" s="959">
        <f>D37/G37</f>
        <v>10505.46293539744</v>
      </c>
      <c r="I37" s="821" t="s">
        <v>185</v>
      </c>
      <c r="J37" s="822">
        <f t="shared" si="3"/>
        <v>286383.59999999998</v>
      </c>
      <c r="K37" s="823"/>
      <c r="L37" s="812"/>
      <c r="M37" s="820">
        <v>3255563</v>
      </c>
      <c r="N37" s="717">
        <f t="shared" si="4"/>
        <v>273222</v>
      </c>
      <c r="O37" s="910">
        <f t="shared" si="2"/>
        <v>8.392465450676273E-2</v>
      </c>
      <c r="P37" s="842">
        <v>20969</v>
      </c>
      <c r="Q37" s="804">
        <f t="shared" si="1"/>
        <v>0</v>
      </c>
    </row>
    <row r="38" spans="1:20" ht="18" customHeight="1">
      <c r="A38" s="838" t="s">
        <v>235</v>
      </c>
      <c r="B38" s="839"/>
      <c r="C38" s="872" t="s">
        <v>145</v>
      </c>
      <c r="D38" s="820">
        <v>709648</v>
      </c>
      <c r="E38" s="840">
        <v>14278.7</v>
      </c>
      <c r="F38" s="840">
        <v>7.6</v>
      </c>
      <c r="G38" s="840">
        <v>31.3</v>
      </c>
      <c r="H38" s="959">
        <f>D38/G38</f>
        <v>22672.460063897764</v>
      </c>
      <c r="I38" s="821" t="s">
        <v>185</v>
      </c>
      <c r="J38" s="822">
        <f t="shared" si="3"/>
        <v>180513.60000000003</v>
      </c>
      <c r="K38" s="823"/>
      <c r="L38" s="812"/>
      <c r="M38" s="820">
        <v>1642016</v>
      </c>
      <c r="N38" s="717">
        <f t="shared" si="4"/>
        <v>-932368</v>
      </c>
      <c r="O38" s="910">
        <f t="shared" si="2"/>
        <v>-0.56781907119053654</v>
      </c>
      <c r="P38" s="842">
        <v>14278.7</v>
      </c>
      <c r="Q38" s="804">
        <f t="shared" si="1"/>
        <v>0</v>
      </c>
    </row>
    <row r="39" spans="1:20" ht="18" customHeight="1">
      <c r="A39" s="838" t="s">
        <v>271</v>
      </c>
      <c r="B39" s="839"/>
      <c r="C39" s="872" t="s">
        <v>138</v>
      </c>
      <c r="D39" s="820">
        <v>0</v>
      </c>
      <c r="E39" s="840">
        <v>3147</v>
      </c>
      <c r="F39" s="840">
        <v>0</v>
      </c>
      <c r="G39" s="840">
        <v>0</v>
      </c>
      <c r="H39" s="959">
        <v>0</v>
      </c>
      <c r="I39" s="821" t="s">
        <v>185</v>
      </c>
      <c r="J39" s="822">
        <f t="shared" si="3"/>
        <v>44304</v>
      </c>
      <c r="K39" s="823"/>
      <c r="L39" s="812"/>
      <c r="M39" s="820">
        <v>719561</v>
      </c>
      <c r="N39" s="717">
        <f t="shared" si="4"/>
        <v>-719561</v>
      </c>
      <c r="O39" s="910"/>
      <c r="P39" s="842">
        <v>3147</v>
      </c>
      <c r="Q39" s="804">
        <f t="shared" si="1"/>
        <v>0</v>
      </c>
    </row>
    <row r="40" spans="1:20" ht="18" customHeight="1">
      <c r="A40" s="838" t="s">
        <v>312</v>
      </c>
      <c r="B40" s="839"/>
      <c r="C40" s="872" t="s">
        <v>165</v>
      </c>
      <c r="D40" s="818">
        <v>7141399</v>
      </c>
      <c r="E40" s="819">
        <v>15288</v>
      </c>
      <c r="F40" s="819">
        <v>115.3</v>
      </c>
      <c r="G40" s="819">
        <v>185.8</v>
      </c>
      <c r="H40" s="962">
        <f t="shared" ref="H40:H42" si="5">D40/G40</f>
        <v>38435.947255113024</v>
      </c>
      <c r="I40" s="821" t="s">
        <v>185</v>
      </c>
      <c r="J40" s="822">
        <f t="shared" si="3"/>
        <v>205603.20000000001</v>
      </c>
      <c r="K40" s="823"/>
      <c r="L40" s="812"/>
      <c r="M40" s="818">
        <v>7576813</v>
      </c>
      <c r="N40" s="717">
        <f t="shared" si="4"/>
        <v>-435414</v>
      </c>
      <c r="O40" s="910">
        <f t="shared" si="2"/>
        <v>-5.746664197730629E-2</v>
      </c>
      <c r="P40" s="825">
        <v>15288</v>
      </c>
      <c r="Q40" s="804">
        <f>E40-P40</f>
        <v>0</v>
      </c>
    </row>
    <row r="41" spans="1:20" ht="18" customHeight="1">
      <c r="A41" s="838" t="s">
        <v>273</v>
      </c>
      <c r="B41" s="839"/>
      <c r="C41" s="872" t="s">
        <v>274</v>
      </c>
      <c r="D41" s="820">
        <v>0</v>
      </c>
      <c r="E41" s="840">
        <v>2483.9</v>
      </c>
      <c r="F41" s="840">
        <v>0</v>
      </c>
      <c r="G41" s="840">
        <v>0</v>
      </c>
      <c r="H41" s="962">
        <v>0</v>
      </c>
      <c r="I41" s="821" t="s">
        <v>185</v>
      </c>
      <c r="J41" s="822">
        <f t="shared" si="3"/>
        <v>36346.800000000003</v>
      </c>
      <c r="K41" s="823"/>
      <c r="L41" s="812"/>
      <c r="M41" s="820">
        <v>0</v>
      </c>
      <c r="N41" s="717">
        <f t="shared" si="4"/>
        <v>0</v>
      </c>
      <c r="O41" s="910"/>
      <c r="P41" s="842">
        <v>2483.9</v>
      </c>
      <c r="Q41" s="804">
        <f t="shared" si="1"/>
        <v>0</v>
      </c>
    </row>
    <row r="42" spans="1:20" ht="18" customHeight="1">
      <c r="A42" s="838" t="s">
        <v>296</v>
      </c>
      <c r="B42" s="839"/>
      <c r="C42" s="872" t="s">
        <v>217</v>
      </c>
      <c r="D42" s="820">
        <v>8894156</v>
      </c>
      <c r="E42" s="840">
        <v>9615</v>
      </c>
      <c r="F42" s="840">
        <v>521.9</v>
      </c>
      <c r="G42" s="840">
        <v>412.7</v>
      </c>
      <c r="H42" s="962">
        <f t="shared" si="5"/>
        <v>21551.141264841288</v>
      </c>
      <c r="I42" s="821" t="s">
        <v>185</v>
      </c>
      <c r="J42" s="822">
        <f t="shared" si="3"/>
        <v>156586.79999999999</v>
      </c>
      <c r="K42" s="823"/>
      <c r="L42" s="812"/>
      <c r="M42" s="820">
        <v>8014432</v>
      </c>
      <c r="N42" s="717">
        <f t="shared" si="4"/>
        <v>879724</v>
      </c>
      <c r="O42" s="910">
        <f t="shared" si="2"/>
        <v>0.10976747946704146</v>
      </c>
      <c r="P42" s="842">
        <v>9615</v>
      </c>
      <c r="Q42" s="804">
        <f t="shared" si="1"/>
        <v>0</v>
      </c>
    </row>
    <row r="43" spans="1:20" ht="18" customHeight="1">
      <c r="A43" s="838">
        <v>51</v>
      </c>
      <c r="B43" s="839"/>
      <c r="C43" s="872" t="s">
        <v>242</v>
      </c>
      <c r="D43" s="820">
        <v>0</v>
      </c>
      <c r="E43" s="840">
        <v>4314.3999999999996</v>
      </c>
      <c r="F43" s="840">
        <v>0</v>
      </c>
      <c r="G43" s="840">
        <v>0</v>
      </c>
      <c r="H43" s="962">
        <v>0</v>
      </c>
      <c r="I43" s="821" t="s">
        <v>185</v>
      </c>
      <c r="J43" s="822">
        <f t="shared" si="3"/>
        <v>58312.799999999996</v>
      </c>
      <c r="K43" s="823"/>
      <c r="L43" s="812"/>
      <c r="M43" s="820">
        <v>0</v>
      </c>
      <c r="N43" s="717">
        <f t="shared" si="4"/>
        <v>0</v>
      </c>
      <c r="O43" s="910"/>
      <c r="P43" s="842">
        <v>4314.3999999999996</v>
      </c>
      <c r="Q43" s="804">
        <f t="shared" si="1"/>
        <v>0</v>
      </c>
    </row>
    <row r="44" spans="1:20" ht="18" customHeight="1">
      <c r="A44" s="838">
        <v>53</v>
      </c>
      <c r="B44" s="839"/>
      <c r="C44" s="872" t="s">
        <v>250</v>
      </c>
      <c r="D44" s="820">
        <v>855384</v>
      </c>
      <c r="E44" s="840">
        <v>2308</v>
      </c>
      <c r="F44" s="840">
        <v>18.7</v>
      </c>
      <c r="G44" s="840">
        <v>83.3</v>
      </c>
      <c r="H44" s="962">
        <f>D44/G44</f>
        <v>10268.715486194478</v>
      </c>
      <c r="I44" s="821" t="s">
        <v>185</v>
      </c>
      <c r="J44" s="822">
        <f t="shared" si="3"/>
        <v>41233.199999999997</v>
      </c>
      <c r="K44" s="823"/>
      <c r="L44" s="812"/>
      <c r="M44" s="820">
        <v>1310805</v>
      </c>
      <c r="N44" s="717">
        <f t="shared" si="4"/>
        <v>-455421</v>
      </c>
      <c r="O44" s="910">
        <f t="shared" si="2"/>
        <v>-0.34743611750031467</v>
      </c>
      <c r="P44" s="842">
        <v>2308</v>
      </c>
      <c r="Q44" s="804">
        <f>E44-P44</f>
        <v>0</v>
      </c>
    </row>
    <row r="45" spans="1:20" ht="18" customHeight="1">
      <c r="A45" s="838">
        <v>54</v>
      </c>
      <c r="B45" s="839"/>
      <c r="C45" s="872" t="s">
        <v>275</v>
      </c>
      <c r="D45" s="820">
        <v>3126813</v>
      </c>
      <c r="E45" s="840">
        <v>3838</v>
      </c>
      <c r="F45" s="840">
        <v>231.1</v>
      </c>
      <c r="G45" s="840">
        <v>195.5</v>
      </c>
      <c r="H45" s="962">
        <f t="shared" ref="H45" si="6">D45/G45</f>
        <v>15993.928388746803</v>
      </c>
      <c r="I45" s="821" t="s">
        <v>185</v>
      </c>
      <c r="J45" s="822">
        <f t="shared" si="3"/>
        <v>69018</v>
      </c>
      <c r="K45" s="823"/>
      <c r="L45" s="812"/>
      <c r="M45" s="820">
        <v>2978598</v>
      </c>
      <c r="N45" s="717">
        <f t="shared" si="4"/>
        <v>148215</v>
      </c>
      <c r="O45" s="910">
        <f t="shared" si="2"/>
        <v>4.9759987752627244E-2</v>
      </c>
      <c r="P45" s="842">
        <v>3838</v>
      </c>
      <c r="Q45" s="804">
        <f t="shared" ref="Q45:Q46" si="7">E45-P45</f>
        <v>0</v>
      </c>
    </row>
    <row r="46" spans="1:20">
      <c r="A46" s="926">
        <v>56</v>
      </c>
      <c r="C46" s="929" t="s">
        <v>309</v>
      </c>
      <c r="D46" s="928">
        <v>0</v>
      </c>
      <c r="E46" s="892">
        <v>278.89999999999998</v>
      </c>
      <c r="F46" s="892">
        <v>0</v>
      </c>
      <c r="G46" s="892">
        <v>0</v>
      </c>
      <c r="H46" s="962">
        <v>0</v>
      </c>
      <c r="I46" s="893"/>
      <c r="J46" s="822">
        <f t="shared" si="3"/>
        <v>9886.7999999999993</v>
      </c>
      <c r="K46" s="894"/>
      <c r="M46" s="928">
        <v>0</v>
      </c>
      <c r="N46" s="717">
        <f t="shared" si="4"/>
        <v>0</v>
      </c>
      <c r="O46" s="910"/>
      <c r="P46" s="892">
        <v>278.89999999999998</v>
      </c>
      <c r="Q46" s="804">
        <f t="shared" si="7"/>
        <v>0</v>
      </c>
    </row>
    <row r="47" spans="1:20" ht="18" customHeight="1" thickBot="1">
      <c r="A47" s="838">
        <v>58</v>
      </c>
      <c r="B47" s="839"/>
      <c r="C47" s="872" t="s">
        <v>310</v>
      </c>
      <c r="D47" s="820">
        <v>0</v>
      </c>
      <c r="E47" s="840">
        <v>3425</v>
      </c>
      <c r="F47" s="840">
        <v>414.7</v>
      </c>
      <c r="G47" s="844">
        <v>0</v>
      </c>
      <c r="H47" s="967">
        <v>0</v>
      </c>
      <c r="I47" s="874" t="s">
        <v>185</v>
      </c>
      <c r="J47" s="847">
        <f>(G47*84)+6540+12*E47</f>
        <v>47640</v>
      </c>
      <c r="K47" s="875"/>
      <c r="L47" s="812"/>
      <c r="M47" s="820">
        <v>0</v>
      </c>
      <c r="N47" s="717">
        <f>D47-M47</f>
        <v>0</v>
      </c>
      <c r="O47" s="910"/>
      <c r="P47" s="850">
        <v>3425</v>
      </c>
      <c r="Q47" s="804">
        <f t="shared" si="1"/>
        <v>0</v>
      </c>
    </row>
    <row r="48" spans="1:20" s="860" customFormat="1" ht="18" customHeight="1" thickTop="1">
      <c r="A48" s="851"/>
      <c r="B48" s="852"/>
      <c r="C48" s="853" t="s">
        <v>282</v>
      </c>
      <c r="D48" s="897">
        <f>SUM(D35:D47)</f>
        <v>28672957</v>
      </c>
      <c r="E48" s="898">
        <f>SUM(E35:E47)</f>
        <v>103183.99999999999</v>
      </c>
      <c r="F48" s="898">
        <f>SUM(F35:F47)</f>
        <v>1557.1</v>
      </c>
      <c r="G48" s="855">
        <f>SUM(G35:G47)</f>
        <v>1503.8999999999999</v>
      </c>
      <c r="H48" s="964"/>
      <c r="I48" s="856" t="s">
        <v>185</v>
      </c>
      <c r="J48" s="810">
        <f>SUM(J35:J47)</f>
        <v>1449555.6</v>
      </c>
      <c r="K48" s="857"/>
      <c r="L48" s="858"/>
      <c r="M48" s="897">
        <f>SUM(M35:M47)</f>
        <v>30803103</v>
      </c>
      <c r="N48" s="899">
        <f>D48-M48</f>
        <v>-2130146</v>
      </c>
      <c r="O48" s="910">
        <f>N48/M48</f>
        <v>-6.9153617413154775E-2</v>
      </c>
      <c r="P48" s="900">
        <f>SUM(P35:P47)</f>
        <v>103183.99999999999</v>
      </c>
      <c r="Q48" s="862"/>
      <c r="S48" s="927"/>
      <c r="T48" s="927"/>
    </row>
    <row r="49" spans="1:20" ht="18" customHeight="1">
      <c r="A49" s="829" t="s">
        <v>86</v>
      </c>
      <c r="B49" s="830"/>
      <c r="C49" s="831"/>
      <c r="D49" s="820"/>
      <c r="E49" s="840"/>
      <c r="F49" s="840"/>
      <c r="G49" s="833"/>
      <c r="H49" s="961"/>
      <c r="I49" s="834"/>
      <c r="J49" s="835"/>
      <c r="K49" s="836"/>
      <c r="L49" s="812"/>
      <c r="M49" s="820"/>
      <c r="N49" s="717"/>
      <c r="O49" s="910"/>
      <c r="P49" s="837"/>
    </row>
    <row r="50" spans="1:20" ht="18" customHeight="1" thickBot="1">
      <c r="A50" s="901" t="s">
        <v>252</v>
      </c>
      <c r="B50" s="902"/>
      <c r="C50" s="930" t="s">
        <v>139</v>
      </c>
      <c r="D50" s="843">
        <v>1712679</v>
      </c>
      <c r="E50" s="844">
        <v>6219</v>
      </c>
      <c r="F50" s="844">
        <v>77.400000000000006</v>
      </c>
      <c r="G50" s="844">
        <v>97.1</v>
      </c>
      <c r="H50" s="966">
        <f>D50/G50</f>
        <v>17638.300720906282</v>
      </c>
      <c r="I50" s="874" t="s">
        <v>185</v>
      </c>
      <c r="J50" s="903">
        <f>(G50*84)+6540+12*E50</f>
        <v>89324.4</v>
      </c>
      <c r="K50" s="875"/>
      <c r="L50" s="812"/>
      <c r="M50" s="843">
        <v>1357420</v>
      </c>
      <c r="N50" s="849">
        <f>D50-M50</f>
        <v>355259</v>
      </c>
      <c r="O50" s="910">
        <f>N50/M50</f>
        <v>0.26171634424128126</v>
      </c>
      <c r="P50" s="850">
        <v>6219</v>
      </c>
      <c r="Q50" s="804">
        <f t="shared" si="1"/>
        <v>0</v>
      </c>
      <c r="R50" s="879"/>
    </row>
    <row r="51" spans="1:20" ht="20.25" thickTop="1" thickBot="1">
      <c r="A51" s="1942" t="s">
        <v>44</v>
      </c>
      <c r="B51" s="1943"/>
      <c r="C51" s="1944"/>
      <c r="D51" s="904">
        <f>SUM(D4,D6,D11,D15,D17,D21,D25,D29,D33,D48,D50)</f>
        <v>42449594</v>
      </c>
      <c r="E51" s="905">
        <f>SUM(E4,E6,E11,E15,E17,E21,E25,E29,E33,E48,E50)</f>
        <v>190495</v>
      </c>
      <c r="F51" s="905">
        <f>SUM(F4,F6,F11,F15,F17,F21,F25,F29,F33,F48,F50)</f>
        <v>2884.71</v>
      </c>
      <c r="G51" s="905">
        <f>SUM(G4,G6,G11,G15,G17,G21,G25,G29,G33,G48,G50)</f>
        <v>2505.1</v>
      </c>
      <c r="H51" s="968">
        <f>D51/G51</f>
        <v>16945.269250728514</v>
      </c>
      <c r="I51" s="906" t="s">
        <v>185</v>
      </c>
      <c r="J51" s="907">
        <f>SUM(J4,J6,J11,J15,J17,J21,J25,J29,J33,J48,J50)</f>
        <v>2692568.4</v>
      </c>
      <c r="K51" s="908"/>
      <c r="M51" s="941">
        <f>SUM(M4,M6,M11,M15,M17,M21,M25,M29,M33,M48,M50)</f>
        <v>43536176</v>
      </c>
      <c r="N51" s="942">
        <f>D51-M51</f>
        <v>-1086582</v>
      </c>
      <c r="O51" s="910">
        <f>N51/M51</f>
        <v>-2.4958140558784953E-2</v>
      </c>
      <c r="P51" s="911">
        <f>SUM(P4,P6,P11,P15,P17,P21,P25,P29,P33,P48,P50)</f>
        <v>190495</v>
      </c>
      <c r="Q51" s="804">
        <f t="shared" si="1"/>
        <v>0</v>
      </c>
      <c r="R51" s="912">
        <f>Q51/P51</f>
        <v>0</v>
      </c>
      <c r="S51" s="793"/>
      <c r="T51" s="793"/>
    </row>
    <row r="52" spans="1:20">
      <c r="G52" s="915"/>
      <c r="H52" s="916"/>
      <c r="I52" s="917"/>
      <c r="K52" s="917"/>
      <c r="O52" s="919"/>
      <c r="P52" s="915"/>
      <c r="S52" s="793"/>
      <c r="T52" s="793"/>
    </row>
    <row r="53" spans="1:20">
      <c r="N53" s="921"/>
      <c r="S53" s="793"/>
      <c r="T53" s="793"/>
    </row>
    <row r="54" spans="1:20">
      <c r="F54" s="922" t="s">
        <v>318</v>
      </c>
      <c r="G54" s="914">
        <f>G51-'SUM2012'!G49</f>
        <v>-285.29999999999973</v>
      </c>
      <c r="J54" s="918">
        <f>(30*6540)+(E51*12)+(G51*84)</f>
        <v>2692568.4</v>
      </c>
      <c r="N54" s="912"/>
      <c r="S54" s="793"/>
      <c r="T54" s="793"/>
    </row>
    <row r="55" spans="1:20">
      <c r="F55" s="922" t="s">
        <v>319</v>
      </c>
      <c r="G55" s="923">
        <f>G54/'SUM2012'!G49</f>
        <v>-0.10224340596330267</v>
      </c>
      <c r="J55" s="918">
        <f>J54-J51</f>
        <v>0</v>
      </c>
      <c r="K55" s="924" t="s">
        <v>283</v>
      </c>
      <c r="S55" s="793"/>
      <c r="T55" s="793"/>
    </row>
    <row r="57" spans="1:20">
      <c r="N57" s="925"/>
      <c r="S57" s="793"/>
      <c r="T57" s="793"/>
    </row>
  </sheetData>
  <mergeCells count="16">
    <mergeCell ref="O1:O2"/>
    <mergeCell ref="P1:P2"/>
    <mergeCell ref="Q1:Q2"/>
    <mergeCell ref="A51:C51"/>
    <mergeCell ref="H1:H2"/>
    <mergeCell ref="I1:I2"/>
    <mergeCell ref="J1:J2"/>
    <mergeCell ref="K1:K2"/>
    <mergeCell ref="M1:M2"/>
    <mergeCell ref="N1:N2"/>
    <mergeCell ref="A1:B2"/>
    <mergeCell ref="C1:C2"/>
    <mergeCell ref="D1:D2"/>
    <mergeCell ref="E1:E2"/>
    <mergeCell ref="F1:F2"/>
    <mergeCell ref="G1:G2"/>
  </mergeCells>
  <pageMargins left="0.7" right="0.7" top="0.75" bottom="0.75" header="0.3" footer="0.3"/>
  <pageSetup scale="70" orientation="portrait" r:id="rId1"/>
  <headerFooter>
    <oddHeader>&amp;C&amp;"Arial,Bold"&amp;16Summary of 2013 Annual Coal Production and Acres Bonded, Disturbed and Mined</oddHeader>
    <oddFooter>&amp;L&amp;12&amp;D</oddFooter>
  </headerFooter>
  <ignoredErrors>
    <ignoredError sqref="J35:J48 H36:H38 H40 H42 H44:H45 H50:J50 D51:F51 J4:J33 D11:H11 D15:H15 H19:H20 H23:H24 D21:G21 D25:G25 D29:G29 H27:H28 D33:G33 D48:G48 N27:N29 M11:M33 M48:M51 H51:J51" unlockedFormula="1"/>
    <ignoredError sqref="O25 O29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T55"/>
  <sheetViews>
    <sheetView zoomScale="60" zoomScaleNormal="60" workbookViewId="0">
      <pane xSplit="3" ySplit="2" topLeftCell="D3" activePane="bottomRight" state="frozen"/>
      <selection activeCell="E51" sqref="E51"/>
      <selection pane="topRight" activeCell="E51" sqref="E51"/>
      <selection pane="bottomLeft" activeCell="E51" sqref="E51"/>
      <selection pane="bottomRight" activeCell="E51" sqref="E51"/>
    </sheetView>
  </sheetViews>
  <sheetFormatPr defaultColWidth="9.140625" defaultRowHeight="18.75"/>
  <cols>
    <col min="1" max="1" width="11.28515625" style="891" customWidth="1"/>
    <col min="2" max="2" width="2.42578125" style="891" customWidth="1"/>
    <col min="3" max="3" width="33.140625" style="891" customWidth="1"/>
    <col min="4" max="4" width="20" style="913" customWidth="1"/>
    <col min="5" max="5" width="16.140625" style="914" customWidth="1"/>
    <col min="6" max="6" width="15.7109375" style="914" customWidth="1"/>
    <col min="7" max="7" width="16.140625" style="914" customWidth="1"/>
    <col min="8" max="8" width="16.140625" style="913" customWidth="1"/>
    <col min="9" max="9" width="3.140625" style="920" customWidth="1"/>
    <col min="10" max="10" width="17.85546875" style="918" customWidth="1"/>
    <col min="11" max="11" width="4" style="920" customWidth="1"/>
    <col min="12" max="12" width="5.85546875" style="891" customWidth="1"/>
    <col min="13" max="13" width="19.7109375" style="913" customWidth="1"/>
    <col min="14" max="14" width="18" style="793" customWidth="1"/>
    <col min="15" max="15" width="15.140625" style="793" bestFit="1" customWidth="1"/>
    <col min="16" max="16" width="17.7109375" style="914" customWidth="1"/>
    <col min="17" max="17" width="11.7109375" style="804" bestFit="1" customWidth="1"/>
    <col min="18" max="18" width="11.5703125" style="793" bestFit="1" customWidth="1"/>
    <col min="19" max="19" width="21" style="921" bestFit="1" customWidth="1"/>
    <col min="20" max="20" width="14.7109375" style="921" bestFit="1" customWidth="1"/>
    <col min="21" max="16384" width="9.140625" style="793"/>
  </cols>
  <sheetData>
    <row r="1" spans="1:20">
      <c r="A1" s="1995" t="s">
        <v>6</v>
      </c>
      <c r="B1" s="1996"/>
      <c r="C1" s="1999" t="s">
        <v>162</v>
      </c>
      <c r="D1" s="2001" t="s">
        <v>307</v>
      </c>
      <c r="E1" s="2003" t="s">
        <v>289</v>
      </c>
      <c r="F1" s="2003" t="s">
        <v>187</v>
      </c>
      <c r="G1" s="2003" t="s">
        <v>288</v>
      </c>
      <c r="H1" s="2001" t="s">
        <v>238</v>
      </c>
      <c r="I1" s="2009" t="s">
        <v>184</v>
      </c>
      <c r="J1" s="2005" t="s">
        <v>164</v>
      </c>
      <c r="K1" s="1989" t="s">
        <v>184</v>
      </c>
      <c r="L1" s="792"/>
      <c r="M1" s="2011" t="s">
        <v>292</v>
      </c>
      <c r="N1" s="2013" t="s">
        <v>208</v>
      </c>
      <c r="O1" s="2007" t="s">
        <v>299</v>
      </c>
      <c r="P1" s="1980" t="s">
        <v>308</v>
      </c>
      <c r="Q1" s="1982"/>
    </row>
    <row r="2" spans="1:20" ht="19.5" customHeight="1" thickBot="1">
      <c r="A2" s="1997"/>
      <c r="B2" s="1998"/>
      <c r="C2" s="2000"/>
      <c r="D2" s="2002"/>
      <c r="E2" s="2004"/>
      <c r="F2" s="2004"/>
      <c r="G2" s="2004"/>
      <c r="H2" s="2008"/>
      <c r="I2" s="2010"/>
      <c r="J2" s="2006"/>
      <c r="K2" s="1990"/>
      <c r="L2" s="792"/>
      <c r="M2" s="2012"/>
      <c r="N2" s="2014"/>
      <c r="O2" s="2007"/>
      <c r="P2" s="1981"/>
      <c r="Q2" s="1982"/>
      <c r="S2" s="921" t="s">
        <v>320</v>
      </c>
    </row>
    <row r="3" spans="1:20">
      <c r="A3" s="794" t="s">
        <v>110</v>
      </c>
      <c r="B3" s="795"/>
      <c r="C3" s="796"/>
      <c r="D3" s="797"/>
      <c r="E3" s="798"/>
      <c r="F3" s="798"/>
      <c r="G3" s="798"/>
      <c r="H3" s="797"/>
      <c r="I3" s="799"/>
      <c r="J3" s="800"/>
      <c r="K3" s="801"/>
      <c r="L3" s="802"/>
      <c r="M3" s="797"/>
      <c r="N3" s="702"/>
      <c r="P3" s="803"/>
    </row>
    <row r="4" spans="1:20">
      <c r="A4" s="805" t="s">
        <v>249</v>
      </c>
      <c r="B4" s="806"/>
      <c r="C4" s="931" t="s">
        <v>125</v>
      </c>
      <c r="D4" s="807">
        <v>0</v>
      </c>
      <c r="E4" s="808">
        <v>10504</v>
      </c>
      <c r="F4" s="808">
        <v>0</v>
      </c>
      <c r="G4" s="808">
        <v>0</v>
      </c>
      <c r="H4" s="807">
        <v>0</v>
      </c>
      <c r="I4" s="809" t="s">
        <v>185</v>
      </c>
      <c r="J4" s="810">
        <f>(G4*154)+6900+(10.4*E4)</f>
        <v>116141.6</v>
      </c>
      <c r="K4" s="811"/>
      <c r="L4" s="812"/>
      <c r="M4" s="807">
        <f>'SUM2011'!D4</f>
        <v>0</v>
      </c>
      <c r="N4" s="813">
        <f>D4-M4</f>
        <v>0</v>
      </c>
      <c r="P4" s="814">
        <v>10504</v>
      </c>
      <c r="Q4" s="804">
        <f>E4-P4</f>
        <v>0</v>
      </c>
    </row>
    <row r="5" spans="1:20">
      <c r="A5" s="815" t="s">
        <v>246</v>
      </c>
      <c r="B5" s="816"/>
      <c r="C5" s="817"/>
      <c r="D5" s="818"/>
      <c r="E5" s="819"/>
      <c r="F5" s="819"/>
      <c r="G5" s="819"/>
      <c r="H5" s="820"/>
      <c r="I5" s="821"/>
      <c r="J5" s="822"/>
      <c r="K5" s="823"/>
      <c r="L5" s="812"/>
      <c r="M5" s="818"/>
      <c r="N5" s="824"/>
      <c r="P5" s="825"/>
    </row>
    <row r="6" spans="1:20">
      <c r="A6" s="805" t="s">
        <v>240</v>
      </c>
      <c r="B6" s="826"/>
      <c r="C6" s="931" t="s">
        <v>144</v>
      </c>
      <c r="D6" s="807">
        <v>0</v>
      </c>
      <c r="E6" s="808">
        <v>803</v>
      </c>
      <c r="F6" s="808">
        <v>9</v>
      </c>
      <c r="G6" s="808">
        <v>0</v>
      </c>
      <c r="H6" s="827">
        <v>0</v>
      </c>
      <c r="I6" s="809" t="s">
        <v>185</v>
      </c>
      <c r="J6" s="828">
        <f>(G6*154)+6900+10.4*E6</f>
        <v>15251.2</v>
      </c>
      <c r="K6" s="811"/>
      <c r="L6" s="812"/>
      <c r="M6" s="807">
        <f>'SUM2011'!D6</f>
        <v>0</v>
      </c>
      <c r="N6" s="813">
        <f>D6-M6</f>
        <v>0</v>
      </c>
      <c r="P6" s="814">
        <v>803</v>
      </c>
      <c r="Q6" s="804">
        <f>E6-P6</f>
        <v>0</v>
      </c>
    </row>
    <row r="7" spans="1:20">
      <c r="A7" s="829" t="s">
        <v>147</v>
      </c>
      <c r="B7" s="830"/>
      <c r="C7" s="831"/>
      <c r="D7" s="832"/>
      <c r="E7" s="833"/>
      <c r="F7" s="833"/>
      <c r="G7" s="833"/>
      <c r="H7" s="832"/>
      <c r="I7" s="834"/>
      <c r="J7" s="835"/>
      <c r="K7" s="836"/>
      <c r="L7" s="812"/>
      <c r="M7" s="832"/>
      <c r="N7" s="710"/>
      <c r="P7" s="837"/>
    </row>
    <row r="8" spans="1:20">
      <c r="A8" s="838" t="s">
        <v>223</v>
      </c>
      <c r="B8" s="839"/>
      <c r="C8" s="872" t="s">
        <v>127</v>
      </c>
      <c r="D8" s="820">
        <v>0</v>
      </c>
      <c r="E8" s="840">
        <v>2785</v>
      </c>
      <c r="F8" s="840">
        <v>0</v>
      </c>
      <c r="G8" s="840">
        <v>0</v>
      </c>
      <c r="H8" s="841">
        <v>0</v>
      </c>
      <c r="I8" s="821" t="s">
        <v>185</v>
      </c>
      <c r="J8" s="822">
        <f>(G8*154)+6900+(10.4*E8)</f>
        <v>35864</v>
      </c>
      <c r="K8" s="823"/>
      <c r="L8" s="812"/>
      <c r="M8" s="820">
        <f>'SUM2011'!D8</f>
        <v>0</v>
      </c>
      <c r="N8" s="717">
        <f>D8-M8</f>
        <v>0</v>
      </c>
      <c r="P8" s="842">
        <v>2785</v>
      </c>
      <c r="Q8" s="804">
        <f>E8-P8</f>
        <v>0</v>
      </c>
    </row>
    <row r="9" spans="1:20">
      <c r="A9" s="838" t="s">
        <v>224</v>
      </c>
      <c r="B9" s="839"/>
      <c r="C9" s="872" t="s">
        <v>128</v>
      </c>
      <c r="D9" s="820">
        <v>0</v>
      </c>
      <c r="E9" s="840">
        <v>615.9</v>
      </c>
      <c r="F9" s="840">
        <v>0</v>
      </c>
      <c r="G9" s="840">
        <v>0</v>
      </c>
      <c r="H9" s="820">
        <v>0</v>
      </c>
      <c r="I9" s="821" t="s">
        <v>185</v>
      </c>
      <c r="J9" s="822">
        <f>(G9*154)+6900+(10.4*E9)</f>
        <v>13305.36</v>
      </c>
      <c r="K9" s="823"/>
      <c r="L9" s="812"/>
      <c r="M9" s="820">
        <f>'SUM2011'!D9</f>
        <v>0</v>
      </c>
      <c r="N9" s="717">
        <f>D9-M9</f>
        <v>0</v>
      </c>
      <c r="P9" s="842">
        <v>615.9</v>
      </c>
      <c r="Q9" s="804">
        <f>E9-P9</f>
        <v>0</v>
      </c>
    </row>
    <row r="10" spans="1:20" ht="19.5" thickBot="1">
      <c r="A10" s="838" t="s">
        <v>291</v>
      </c>
      <c r="B10" s="839"/>
      <c r="C10" s="872" t="s">
        <v>177</v>
      </c>
      <c r="D10" s="843">
        <v>0</v>
      </c>
      <c r="E10" s="844">
        <v>531.9</v>
      </c>
      <c r="F10" s="844">
        <v>0</v>
      </c>
      <c r="G10" s="844">
        <v>0</v>
      </c>
      <c r="H10" s="845">
        <v>0</v>
      </c>
      <c r="I10" s="846" t="s">
        <v>185</v>
      </c>
      <c r="J10" s="847">
        <f>(G10*154)+6900+(10.4*E10)</f>
        <v>12431.76</v>
      </c>
      <c r="K10" s="848"/>
      <c r="L10" s="812"/>
      <c r="M10" s="843">
        <f>'SUM2011'!D10</f>
        <v>0</v>
      </c>
      <c r="N10" s="849">
        <f>D10-M10</f>
        <v>0</v>
      </c>
      <c r="P10" s="850">
        <v>531.9</v>
      </c>
      <c r="Q10" s="804">
        <f>E10-P10</f>
        <v>0</v>
      </c>
    </row>
    <row r="11" spans="1:20" s="860" customFormat="1" ht="19.5" thickTop="1">
      <c r="A11" s="851"/>
      <c r="B11" s="852"/>
      <c r="C11" s="853" t="s">
        <v>278</v>
      </c>
      <c r="D11" s="854">
        <f>SUM(D8:D10)</f>
        <v>0</v>
      </c>
      <c r="E11" s="855">
        <f>SUM(E8:E10)</f>
        <v>3932.8</v>
      </c>
      <c r="F11" s="855">
        <f>SUM(F8:F10)</f>
        <v>0</v>
      </c>
      <c r="G11" s="855">
        <f>SUM(G8:G10)</f>
        <v>0</v>
      </c>
      <c r="H11" s="854">
        <f>SUM(H8:H10)</f>
        <v>0</v>
      </c>
      <c r="I11" s="856" t="s">
        <v>185</v>
      </c>
      <c r="J11" s="810">
        <f>SUM(J8:J10)</f>
        <v>61601.120000000003</v>
      </c>
      <c r="K11" s="857"/>
      <c r="L11" s="858"/>
      <c r="M11" s="854">
        <f>SUM(M8:M10)</f>
        <v>0</v>
      </c>
      <c r="N11" s="859">
        <f>D11-M11</f>
        <v>0</v>
      </c>
      <c r="P11" s="861">
        <f>SUM(P8:P10)</f>
        <v>3932.8</v>
      </c>
      <c r="Q11" s="862"/>
      <c r="S11" s="927"/>
      <c r="T11" s="927"/>
    </row>
    <row r="12" spans="1:20">
      <c r="A12" s="815" t="s">
        <v>313</v>
      </c>
      <c r="B12" s="863"/>
      <c r="C12" s="864"/>
      <c r="D12" s="865"/>
      <c r="E12" s="866"/>
      <c r="F12" s="866"/>
      <c r="G12" s="866"/>
      <c r="H12" s="865"/>
      <c r="I12" s="867"/>
      <c r="J12" s="868"/>
      <c r="K12" s="869"/>
      <c r="L12" s="812"/>
      <c r="M12" s="865"/>
      <c r="N12" s="870"/>
      <c r="P12" s="842"/>
    </row>
    <row r="13" spans="1:20">
      <c r="A13" s="871">
        <v>57</v>
      </c>
      <c r="B13" s="863"/>
      <c r="C13" s="872" t="s">
        <v>314</v>
      </c>
      <c r="D13" s="820">
        <v>0</v>
      </c>
      <c r="E13" s="840">
        <v>80.8</v>
      </c>
      <c r="F13" s="840">
        <v>80.8</v>
      </c>
      <c r="G13" s="840">
        <v>0</v>
      </c>
      <c r="H13" s="820">
        <v>0</v>
      </c>
      <c r="I13" s="867"/>
      <c r="J13" s="868">
        <f>(G13*154)+6900+10.4*E13</f>
        <v>7740.32</v>
      </c>
      <c r="K13" s="869"/>
      <c r="L13" s="812"/>
      <c r="M13" s="865"/>
      <c r="N13" s="870"/>
      <c r="P13" s="842">
        <v>80.8</v>
      </c>
      <c r="Q13" s="804">
        <f>E13-P13</f>
        <v>0</v>
      </c>
    </row>
    <row r="14" spans="1:20">
      <c r="A14" s="829" t="s">
        <v>72</v>
      </c>
      <c r="B14" s="830"/>
      <c r="C14" s="831"/>
      <c r="D14" s="832"/>
      <c r="E14" s="833"/>
      <c r="F14" s="833"/>
      <c r="G14" s="833"/>
      <c r="H14" s="832"/>
      <c r="I14" s="834"/>
      <c r="J14" s="873"/>
      <c r="K14" s="836"/>
      <c r="L14" s="812"/>
      <c r="M14" s="832"/>
      <c r="N14" s="710"/>
      <c r="P14" s="837"/>
    </row>
    <row r="15" spans="1:20">
      <c r="A15" s="805" t="s">
        <v>226</v>
      </c>
      <c r="B15" s="806"/>
      <c r="C15" s="931" t="s">
        <v>131</v>
      </c>
      <c r="D15" s="807">
        <v>0</v>
      </c>
      <c r="E15" s="808">
        <v>437</v>
      </c>
      <c r="F15" s="808">
        <v>437</v>
      </c>
      <c r="G15" s="808">
        <v>0</v>
      </c>
      <c r="H15" s="827">
        <v>0</v>
      </c>
      <c r="I15" s="809" t="s">
        <v>185</v>
      </c>
      <c r="J15" s="828">
        <f>(G15*154)+6900+10.4*E15</f>
        <v>11444.8</v>
      </c>
      <c r="K15" s="811"/>
      <c r="L15" s="812"/>
      <c r="M15" s="813">
        <f>'SUM2011'!D13</f>
        <v>0</v>
      </c>
      <c r="N15" s="813">
        <f>D15-M15</f>
        <v>0</v>
      </c>
      <c r="P15" s="814">
        <v>437</v>
      </c>
      <c r="Q15" s="804">
        <f t="shared" ref="Q15:Q49" si="0">E15-P15</f>
        <v>0</v>
      </c>
    </row>
    <row r="16" spans="1:20">
      <c r="A16" s="829" t="s">
        <v>180</v>
      </c>
      <c r="B16" s="830"/>
      <c r="C16" s="831"/>
      <c r="D16" s="832"/>
      <c r="E16" s="833"/>
      <c r="F16" s="833"/>
      <c r="G16" s="833"/>
      <c r="H16" s="832"/>
      <c r="I16" s="834"/>
      <c r="J16" s="835"/>
      <c r="K16" s="836"/>
      <c r="L16" s="812"/>
      <c r="M16" s="710"/>
      <c r="N16" s="710"/>
      <c r="P16" s="837"/>
    </row>
    <row r="17" spans="1:20">
      <c r="A17" s="838" t="s">
        <v>227</v>
      </c>
      <c r="B17" s="839"/>
      <c r="C17" s="872" t="s">
        <v>132</v>
      </c>
      <c r="D17" s="820">
        <v>1546804</v>
      </c>
      <c r="E17" s="840">
        <v>14969</v>
      </c>
      <c r="F17" s="840">
        <v>202.3</v>
      </c>
      <c r="G17" s="840">
        <v>69.900000000000006</v>
      </c>
      <c r="H17" s="820">
        <f>D17/G17</f>
        <v>22128.812589413446</v>
      </c>
      <c r="I17" s="821" t="s">
        <v>185</v>
      </c>
      <c r="J17" s="822">
        <f>(G17*154)+6900+10.4*E17</f>
        <v>173342.2</v>
      </c>
      <c r="K17" s="823"/>
      <c r="L17" s="812"/>
      <c r="M17" s="717">
        <f>'SUM2011'!D15</f>
        <v>1479924</v>
      </c>
      <c r="N17" s="717">
        <f>D17-M17</f>
        <v>66880</v>
      </c>
      <c r="O17" s="910">
        <f t="shared" ref="O17:O48" si="1">N17/M17</f>
        <v>4.5191509834288789E-2</v>
      </c>
      <c r="P17" s="842">
        <v>14969</v>
      </c>
      <c r="Q17" s="804">
        <f t="shared" si="0"/>
        <v>0</v>
      </c>
    </row>
    <row r="18" spans="1:20" ht="19.5" thickBot="1">
      <c r="A18" s="838" t="s">
        <v>253</v>
      </c>
      <c r="B18" s="839"/>
      <c r="C18" s="872" t="s">
        <v>157</v>
      </c>
      <c r="D18" s="843">
        <v>2680975</v>
      </c>
      <c r="E18" s="844">
        <v>4544.7</v>
      </c>
      <c r="F18" s="844">
        <v>94.5</v>
      </c>
      <c r="G18" s="844">
        <v>195.1</v>
      </c>
      <c r="H18" s="843">
        <f>D18/G18</f>
        <v>13741.542798564838</v>
      </c>
      <c r="I18" s="874" t="s">
        <v>185</v>
      </c>
      <c r="J18" s="847">
        <f>ROUNDUP((G18*154)+6900+10.4*E18,2)</f>
        <v>84210.28</v>
      </c>
      <c r="K18" s="875"/>
      <c r="L18" s="812"/>
      <c r="M18" s="849">
        <f>'SUM2011'!D16</f>
        <v>2741622</v>
      </c>
      <c r="N18" s="849">
        <f>D18-M18</f>
        <v>-60647</v>
      </c>
      <c r="O18" s="910">
        <f t="shared" si="1"/>
        <v>-2.2120846710450965E-2</v>
      </c>
      <c r="P18" s="850">
        <v>4544.7</v>
      </c>
      <c r="Q18" s="804">
        <f t="shared" si="0"/>
        <v>0</v>
      </c>
    </row>
    <row r="19" spans="1:20" s="860" customFormat="1" ht="18" customHeight="1" thickTop="1">
      <c r="A19" s="851"/>
      <c r="B19" s="852"/>
      <c r="C19" s="853" t="s">
        <v>279</v>
      </c>
      <c r="D19" s="854">
        <f>SUM(D17:D18)</f>
        <v>4227779</v>
      </c>
      <c r="E19" s="855">
        <f>SUM(E17:E18)</f>
        <v>19513.7</v>
      </c>
      <c r="F19" s="855">
        <f>SUM(F17:F18)</f>
        <v>296.8</v>
      </c>
      <c r="G19" s="855">
        <f>SUM(G17:G18)</f>
        <v>265</v>
      </c>
      <c r="H19" s="854"/>
      <c r="I19" s="876" t="s">
        <v>185</v>
      </c>
      <c r="J19" s="828">
        <f>ROUNDUP(SUM(J17:J18),2)</f>
        <v>257552.48</v>
      </c>
      <c r="K19" s="877"/>
      <c r="L19" s="858"/>
      <c r="M19" s="859">
        <f>SUM(M17:M18)</f>
        <v>4221546</v>
      </c>
      <c r="N19" s="859">
        <f>D19-M19</f>
        <v>6233</v>
      </c>
      <c r="O19" s="910">
        <f t="shared" si="1"/>
        <v>1.476473310962382E-3</v>
      </c>
      <c r="P19" s="861">
        <f>SUM(P17:P18)</f>
        <v>19513.7</v>
      </c>
      <c r="Q19" s="862"/>
      <c r="S19" s="927"/>
      <c r="T19" s="927"/>
    </row>
    <row r="20" spans="1:20" ht="18" customHeight="1">
      <c r="A20" s="829" t="s">
        <v>75</v>
      </c>
      <c r="B20" s="830"/>
      <c r="C20" s="831"/>
      <c r="D20" s="832"/>
      <c r="E20" s="833"/>
      <c r="F20" s="833"/>
      <c r="G20" s="833"/>
      <c r="H20" s="832"/>
      <c r="I20" s="834"/>
      <c r="J20" s="835"/>
      <c r="K20" s="836"/>
      <c r="L20" s="812"/>
      <c r="M20" s="710"/>
      <c r="N20" s="710"/>
      <c r="O20" s="910"/>
      <c r="P20" s="837"/>
      <c r="R20" s="878"/>
    </row>
    <row r="21" spans="1:20" ht="18" customHeight="1">
      <c r="A21" s="838" t="s">
        <v>290</v>
      </c>
      <c r="B21" s="839"/>
      <c r="C21" s="872" t="s">
        <v>216</v>
      </c>
      <c r="D21" s="820">
        <v>3548916</v>
      </c>
      <c r="E21" s="840">
        <v>19594.2</v>
      </c>
      <c r="F21" s="840">
        <v>197.7</v>
      </c>
      <c r="G21" s="840">
        <v>252.7</v>
      </c>
      <c r="H21" s="820">
        <f>D21/G21</f>
        <v>14043.98891966759</v>
      </c>
      <c r="I21" s="821" t="s">
        <v>185</v>
      </c>
      <c r="J21" s="822">
        <f>6900+E21*10.4+G21*154</f>
        <v>249595.48</v>
      </c>
      <c r="K21" s="823"/>
      <c r="L21" s="812"/>
      <c r="M21" s="717">
        <f>'SUM2011'!D19</f>
        <v>4014304</v>
      </c>
      <c r="N21" s="717">
        <f>D21-M21</f>
        <v>-465388</v>
      </c>
      <c r="O21" s="910">
        <f t="shared" si="1"/>
        <v>-0.11593242564589029</v>
      </c>
      <c r="P21" s="842">
        <v>19594.2</v>
      </c>
      <c r="Q21" s="804">
        <f t="shared" si="0"/>
        <v>0</v>
      </c>
      <c r="R21" s="879"/>
    </row>
    <row r="22" spans="1:20" ht="18" customHeight="1" thickBot="1">
      <c r="A22" s="838">
        <v>55</v>
      </c>
      <c r="B22" s="839"/>
      <c r="C22" s="872" t="s">
        <v>293</v>
      </c>
      <c r="D22" s="843">
        <v>288978</v>
      </c>
      <c r="E22" s="844">
        <v>2811</v>
      </c>
      <c r="F22" s="844">
        <v>599</v>
      </c>
      <c r="G22" s="844">
        <v>98.5</v>
      </c>
      <c r="H22" s="843">
        <f>D22/G22</f>
        <v>2933.7868020304568</v>
      </c>
      <c r="I22" s="874" t="s">
        <v>185</v>
      </c>
      <c r="J22" s="847">
        <f>6900+E22*10.4+G22*154</f>
        <v>51303.4</v>
      </c>
      <c r="K22" s="875"/>
      <c r="L22" s="812"/>
      <c r="M22" s="849">
        <f>'SUM2011'!D20</f>
        <v>0</v>
      </c>
      <c r="N22" s="849">
        <f>D22-M22</f>
        <v>288978</v>
      </c>
      <c r="O22" s="910"/>
      <c r="P22" s="850">
        <v>2811</v>
      </c>
      <c r="Q22" s="804">
        <f t="shared" si="0"/>
        <v>0</v>
      </c>
      <c r="R22" s="879"/>
    </row>
    <row r="23" spans="1:20" s="860" customFormat="1" ht="18" customHeight="1" thickTop="1">
      <c r="A23" s="880"/>
      <c r="B23" s="881"/>
      <c r="C23" s="864" t="s">
        <v>294</v>
      </c>
      <c r="D23" s="865">
        <f>SUM(D21:D22)</f>
        <v>3837894</v>
      </c>
      <c r="E23" s="866">
        <f>SUM(E21:E22)</f>
        <v>22405.200000000001</v>
      </c>
      <c r="F23" s="866">
        <f>SUM(F21:F22)</f>
        <v>796.7</v>
      </c>
      <c r="G23" s="866">
        <f>SUM(G21:G22)</f>
        <v>351.2</v>
      </c>
      <c r="H23" s="865"/>
      <c r="I23" s="882" t="s">
        <v>185</v>
      </c>
      <c r="J23" s="883">
        <f>SUM(J21:J22)</f>
        <v>300898.88</v>
      </c>
      <c r="K23" s="884"/>
      <c r="L23" s="858"/>
      <c r="M23" s="870">
        <f>SUM(M21:M22)</f>
        <v>4014304</v>
      </c>
      <c r="N23" s="870">
        <f>SUM(N21:N22)</f>
        <v>-176410</v>
      </c>
      <c r="O23" s="910">
        <f t="shared" si="1"/>
        <v>-4.3945351423310242E-2</v>
      </c>
      <c r="P23" s="885">
        <f>SUM(P21:P22)</f>
        <v>22405.200000000001</v>
      </c>
      <c r="Q23" s="862"/>
      <c r="R23" s="886"/>
      <c r="S23" s="927"/>
      <c r="T23" s="927"/>
    </row>
    <row r="24" spans="1:20" ht="18" customHeight="1">
      <c r="A24" s="829" t="s">
        <v>77</v>
      </c>
      <c r="B24" s="830"/>
      <c r="C24" s="831"/>
      <c r="D24" s="832"/>
      <c r="E24" s="833"/>
      <c r="F24" s="833"/>
      <c r="G24" s="833"/>
      <c r="H24" s="832"/>
      <c r="I24" s="834"/>
      <c r="J24" s="835"/>
      <c r="K24" s="836"/>
      <c r="L24" s="812"/>
      <c r="M24" s="710"/>
      <c r="N24" s="832"/>
      <c r="O24" s="910"/>
      <c r="P24" s="837"/>
      <c r="R24" s="879"/>
    </row>
    <row r="25" spans="1:20" ht="18" customHeight="1">
      <c r="A25" s="838" t="s">
        <v>229</v>
      </c>
      <c r="B25" s="839"/>
      <c r="C25" s="872" t="s">
        <v>151</v>
      </c>
      <c r="D25" s="820">
        <v>759991</v>
      </c>
      <c r="E25" s="840">
        <v>9837</v>
      </c>
      <c r="F25" s="840">
        <v>59.6</v>
      </c>
      <c r="G25" s="840">
        <v>74.5</v>
      </c>
      <c r="H25" s="820">
        <f>D25/G25</f>
        <v>10201.221476510067</v>
      </c>
      <c r="I25" s="821" t="s">
        <v>185</v>
      </c>
      <c r="J25" s="822">
        <f>(G25*154)+6900+(10.4*E25)</f>
        <v>120677.8</v>
      </c>
      <c r="K25" s="823"/>
      <c r="L25" s="812"/>
      <c r="M25" s="717">
        <f>'SUM2011'!D23</f>
        <v>685063</v>
      </c>
      <c r="N25" s="820">
        <f>D25-M25</f>
        <v>74928</v>
      </c>
      <c r="O25" s="910">
        <f t="shared" si="1"/>
        <v>0.10937388240205645</v>
      </c>
      <c r="P25" s="842">
        <v>9837</v>
      </c>
      <c r="Q25" s="804">
        <f t="shared" si="0"/>
        <v>0</v>
      </c>
      <c r="R25" s="879"/>
    </row>
    <row r="26" spans="1:20" ht="18" customHeight="1" thickBot="1">
      <c r="A26" s="838">
        <v>52</v>
      </c>
      <c r="B26" s="839"/>
      <c r="C26" s="872" t="s">
        <v>244</v>
      </c>
      <c r="D26" s="843">
        <v>2549989</v>
      </c>
      <c r="E26" s="844">
        <v>2726.6</v>
      </c>
      <c r="F26" s="844">
        <v>326.5</v>
      </c>
      <c r="G26" s="844">
        <v>314.39999999999998</v>
      </c>
      <c r="H26" s="843">
        <f>D26/G26</f>
        <v>8110.6520356234105</v>
      </c>
      <c r="I26" s="874" t="s">
        <v>185</v>
      </c>
      <c r="J26" s="847">
        <f>(G26*154)+6900+(10.4*E26)</f>
        <v>83674.239999999991</v>
      </c>
      <c r="K26" s="875"/>
      <c r="L26" s="812"/>
      <c r="M26" s="849">
        <f>'SUM2011'!D24</f>
        <v>2519090</v>
      </c>
      <c r="N26" s="843">
        <f>D26-M26</f>
        <v>30899</v>
      </c>
      <c r="O26" s="910">
        <f t="shared" si="1"/>
        <v>1.2265937302756155E-2</v>
      </c>
      <c r="P26" s="850">
        <v>2726.6</v>
      </c>
      <c r="Q26" s="804">
        <f t="shared" si="0"/>
        <v>0</v>
      </c>
      <c r="R26" s="879"/>
    </row>
    <row r="27" spans="1:20" s="860" customFormat="1" ht="18" customHeight="1" thickTop="1">
      <c r="A27" s="880"/>
      <c r="B27" s="881"/>
      <c r="C27" s="864" t="s">
        <v>280</v>
      </c>
      <c r="D27" s="865">
        <f>SUM(D25:D26)</f>
        <v>3309980</v>
      </c>
      <c r="E27" s="866">
        <f>SUM(E25:E26)</f>
        <v>12563.6</v>
      </c>
      <c r="F27" s="866">
        <f>SUM(F25:F26)</f>
        <v>386.1</v>
      </c>
      <c r="G27" s="866">
        <f>SUM(G25:G26)</f>
        <v>388.9</v>
      </c>
      <c r="H27" s="865"/>
      <c r="I27" s="882" t="s">
        <v>185</v>
      </c>
      <c r="J27" s="883">
        <f>SUM(J25:J26)</f>
        <v>204352.03999999998</v>
      </c>
      <c r="K27" s="884"/>
      <c r="L27" s="858"/>
      <c r="M27" s="870">
        <f>SUM(M25:M26)</f>
        <v>3204153</v>
      </c>
      <c r="N27" s="865">
        <f>SUM(N25:N26)</f>
        <v>105827</v>
      </c>
      <c r="O27" s="910">
        <f t="shared" si="1"/>
        <v>3.3028073253680457E-2</v>
      </c>
      <c r="P27" s="885">
        <f>SUM(P25:P26)</f>
        <v>12563.6</v>
      </c>
      <c r="Q27" s="862"/>
      <c r="R27" s="887"/>
      <c r="S27" s="927"/>
      <c r="T27" s="927"/>
    </row>
    <row r="28" spans="1:20" ht="18" customHeight="1">
      <c r="A28" s="829" t="s">
        <v>78</v>
      </c>
      <c r="B28" s="830"/>
      <c r="C28" s="831"/>
      <c r="D28" s="832"/>
      <c r="E28" s="833"/>
      <c r="F28" s="833"/>
      <c r="G28" s="833"/>
      <c r="H28" s="832"/>
      <c r="I28" s="834"/>
      <c r="J28" s="835"/>
      <c r="K28" s="836"/>
      <c r="L28" s="812"/>
      <c r="M28" s="710"/>
      <c r="N28" s="710"/>
      <c r="O28" s="910"/>
      <c r="P28" s="837"/>
      <c r="R28" s="878"/>
    </row>
    <row r="29" spans="1:20" ht="18" customHeight="1">
      <c r="A29" s="838" t="s">
        <v>230</v>
      </c>
      <c r="B29" s="839"/>
      <c r="C29" s="872" t="s">
        <v>134</v>
      </c>
      <c r="D29" s="820">
        <v>0</v>
      </c>
      <c r="E29" s="840">
        <v>6385.6</v>
      </c>
      <c r="F29" s="840">
        <v>0</v>
      </c>
      <c r="G29" s="840">
        <v>0</v>
      </c>
      <c r="H29" s="820">
        <v>0</v>
      </c>
      <c r="I29" s="821" t="s">
        <v>185</v>
      </c>
      <c r="J29" s="822">
        <f>ROUNDUP((G29*154)+6900+10.4*E29,2)</f>
        <v>73310.240000000005</v>
      </c>
      <c r="K29" s="823"/>
      <c r="L29" s="812"/>
      <c r="M29" s="717">
        <f>'SUM2011'!D27</f>
        <v>0</v>
      </c>
      <c r="N29" s="717">
        <f>D29-M29</f>
        <v>0</v>
      </c>
      <c r="O29" s="910"/>
      <c r="P29" s="842">
        <v>6385.6</v>
      </c>
      <c r="Q29" s="804">
        <f t="shared" si="0"/>
        <v>0</v>
      </c>
      <c r="R29" s="878"/>
    </row>
    <row r="30" spans="1:20" ht="18" customHeight="1" thickBot="1">
      <c r="A30" s="838" t="s">
        <v>231</v>
      </c>
      <c r="B30" s="839"/>
      <c r="C30" s="872" t="s">
        <v>178</v>
      </c>
      <c r="D30" s="843">
        <v>0</v>
      </c>
      <c r="E30" s="844">
        <v>2259</v>
      </c>
      <c r="F30" s="844">
        <v>0</v>
      </c>
      <c r="G30" s="844">
        <v>0</v>
      </c>
      <c r="H30" s="843">
        <v>0</v>
      </c>
      <c r="I30" s="874" t="s">
        <v>185</v>
      </c>
      <c r="J30" s="847">
        <f>(G30*154)+6900+10.4*E30</f>
        <v>30393.600000000002</v>
      </c>
      <c r="K30" s="875"/>
      <c r="L30" s="812"/>
      <c r="M30" s="849">
        <f>'SUM2011'!D28</f>
        <v>0</v>
      </c>
      <c r="N30" s="849">
        <f>D30-M30</f>
        <v>0</v>
      </c>
      <c r="O30" s="910"/>
      <c r="P30" s="850">
        <v>2259</v>
      </c>
      <c r="Q30" s="804">
        <f t="shared" si="0"/>
        <v>0</v>
      </c>
    </row>
    <row r="31" spans="1:20" s="860" customFormat="1" ht="18" customHeight="1" thickTop="1">
      <c r="A31" s="851"/>
      <c r="B31" s="852"/>
      <c r="C31" s="853" t="s">
        <v>281</v>
      </c>
      <c r="D31" s="854">
        <f>SUM(D29:D30)</f>
        <v>0</v>
      </c>
      <c r="E31" s="855">
        <f>SUM(E29:E30)</f>
        <v>8644.6</v>
      </c>
      <c r="F31" s="855">
        <f>SUM(F29:F30)</f>
        <v>0</v>
      </c>
      <c r="G31" s="855">
        <f>SUM(G29:G30)</f>
        <v>0</v>
      </c>
      <c r="H31" s="854">
        <v>0</v>
      </c>
      <c r="I31" s="856" t="s">
        <v>185</v>
      </c>
      <c r="J31" s="888">
        <f>SUM(J29:J30)</f>
        <v>103703.84000000001</v>
      </c>
      <c r="K31" s="857"/>
      <c r="L31" s="858"/>
      <c r="M31" s="859">
        <f>SUM(M29:M30)</f>
        <v>0</v>
      </c>
      <c r="N31" s="859">
        <f>D31-M31</f>
        <v>0</v>
      </c>
      <c r="O31" s="910"/>
      <c r="P31" s="861">
        <f>SUM(P29:P30)</f>
        <v>8644.6</v>
      </c>
      <c r="Q31" s="862"/>
      <c r="S31" s="927"/>
      <c r="T31" s="927"/>
    </row>
    <row r="32" spans="1:20" ht="18" customHeight="1">
      <c r="A32" s="829" t="s">
        <v>219</v>
      </c>
      <c r="B32" s="830"/>
      <c r="C32" s="831"/>
      <c r="D32" s="832"/>
      <c r="E32" s="833"/>
      <c r="F32" s="833"/>
      <c r="G32" s="833"/>
      <c r="H32" s="832"/>
      <c r="I32" s="834"/>
      <c r="J32" s="835"/>
      <c r="K32" s="836"/>
      <c r="L32" s="812"/>
      <c r="M32" s="710"/>
      <c r="N32" s="710"/>
      <c r="O32" s="910"/>
      <c r="P32" s="837"/>
    </row>
    <row r="33" spans="1:20" ht="18" customHeight="1">
      <c r="A33" s="838" t="s">
        <v>311</v>
      </c>
      <c r="B33" s="839"/>
      <c r="C33" s="872" t="s">
        <v>136</v>
      </c>
      <c r="D33" s="820">
        <v>0</v>
      </c>
      <c r="E33" s="840">
        <v>6016.9</v>
      </c>
      <c r="F33" s="840">
        <v>0</v>
      </c>
      <c r="G33" s="840">
        <v>0</v>
      </c>
      <c r="H33" s="820">
        <v>0</v>
      </c>
      <c r="I33" s="821" t="s">
        <v>185</v>
      </c>
      <c r="J33" s="822">
        <f>(G33*154)+6900+10.4*E33</f>
        <v>69475.759999999995</v>
      </c>
      <c r="K33" s="823"/>
      <c r="L33" s="812"/>
      <c r="M33" s="717">
        <f>'SUM2011'!D31</f>
        <v>969081</v>
      </c>
      <c r="N33" s="717">
        <f t="shared" ref="N33:N39" si="2">D33-M33</f>
        <v>-969081</v>
      </c>
      <c r="O33" s="910">
        <f t="shared" si="1"/>
        <v>-1</v>
      </c>
      <c r="P33" s="842">
        <v>6016.9</v>
      </c>
      <c r="Q33" s="804">
        <f t="shared" si="0"/>
        <v>0</v>
      </c>
      <c r="S33" s="921">
        <v>0</v>
      </c>
      <c r="T33" s="921">
        <f>D33-S33</f>
        <v>0</v>
      </c>
    </row>
    <row r="34" spans="1:20" ht="18" customHeight="1">
      <c r="A34" s="838" t="s">
        <v>269</v>
      </c>
      <c r="B34" s="839"/>
      <c r="C34" s="872" t="s">
        <v>143</v>
      </c>
      <c r="D34" s="820">
        <v>5305315</v>
      </c>
      <c r="E34" s="840">
        <v>18795</v>
      </c>
      <c r="F34" s="840">
        <v>91.2</v>
      </c>
      <c r="G34" s="840">
        <v>354.9</v>
      </c>
      <c r="H34" s="820">
        <f>D34/G34</f>
        <v>14948.76021414483</v>
      </c>
      <c r="I34" s="821" t="s">
        <v>185</v>
      </c>
      <c r="J34" s="822">
        <f t="shared" ref="J34:J45" si="3">(G34*154)+6900+10.4*E34</f>
        <v>257022.6</v>
      </c>
      <c r="K34" s="823"/>
      <c r="L34" s="812"/>
      <c r="M34" s="717">
        <f>'SUM2011'!D32</f>
        <v>5626489</v>
      </c>
      <c r="N34" s="717">
        <f t="shared" si="2"/>
        <v>-321174</v>
      </c>
      <c r="O34" s="910">
        <f t="shared" si="1"/>
        <v>-5.7082489630744859E-2</v>
      </c>
      <c r="P34" s="842">
        <v>18795</v>
      </c>
      <c r="Q34" s="804">
        <f t="shared" si="0"/>
        <v>0</v>
      </c>
      <c r="S34" s="921">
        <v>5381642</v>
      </c>
      <c r="T34" s="921">
        <f t="shared" ref="T34:T45" si="4">D34-S34</f>
        <v>-76327</v>
      </c>
    </row>
    <row r="35" spans="1:20" ht="18" customHeight="1">
      <c r="A35" s="838" t="s">
        <v>234</v>
      </c>
      <c r="B35" s="839"/>
      <c r="C35" s="872" t="s">
        <v>137</v>
      </c>
      <c r="D35" s="820">
        <v>3255563</v>
      </c>
      <c r="E35" s="840">
        <v>20698</v>
      </c>
      <c r="F35" s="840">
        <v>234</v>
      </c>
      <c r="G35" s="840">
        <v>237.3</v>
      </c>
      <c r="H35" s="820">
        <f>D35/G35</f>
        <v>13719.186683522967</v>
      </c>
      <c r="I35" s="821" t="s">
        <v>185</v>
      </c>
      <c r="J35" s="822">
        <f t="shared" si="3"/>
        <v>258703.40000000002</v>
      </c>
      <c r="K35" s="823"/>
      <c r="L35" s="812"/>
      <c r="M35" s="717">
        <f>'SUM2011'!D33</f>
        <v>3087308</v>
      </c>
      <c r="N35" s="717">
        <f t="shared" si="2"/>
        <v>168255</v>
      </c>
      <c r="O35" s="910">
        <f t="shared" si="1"/>
        <v>5.4498935642313624E-2</v>
      </c>
      <c r="P35" s="842">
        <v>20698</v>
      </c>
      <c r="Q35" s="804">
        <f t="shared" si="0"/>
        <v>0</v>
      </c>
      <c r="S35" s="921">
        <v>3061443</v>
      </c>
      <c r="T35" s="921">
        <f t="shared" si="4"/>
        <v>194120</v>
      </c>
    </row>
    <row r="36" spans="1:20" ht="18" customHeight="1">
      <c r="A36" s="838" t="s">
        <v>235</v>
      </c>
      <c r="B36" s="839"/>
      <c r="C36" s="872" t="s">
        <v>155</v>
      </c>
      <c r="D36" s="820">
        <v>1642016</v>
      </c>
      <c r="E36" s="840">
        <v>17697</v>
      </c>
      <c r="F36" s="840">
        <v>0</v>
      </c>
      <c r="G36" s="840">
        <v>76.400000000000006</v>
      </c>
      <c r="H36" s="820">
        <f>D36/G36</f>
        <v>21492.356020942407</v>
      </c>
      <c r="I36" s="821" t="s">
        <v>185</v>
      </c>
      <c r="J36" s="822">
        <f t="shared" si="3"/>
        <v>202714.40000000002</v>
      </c>
      <c r="K36" s="823"/>
      <c r="L36" s="812"/>
      <c r="M36" s="717">
        <f>'SUM2011'!D34</f>
        <v>1373844</v>
      </c>
      <c r="N36" s="717">
        <f t="shared" si="2"/>
        <v>268172</v>
      </c>
      <c r="O36" s="910">
        <f t="shared" si="1"/>
        <v>0.19519829034446415</v>
      </c>
      <c r="P36" s="842">
        <v>17697</v>
      </c>
      <c r="Q36" s="804">
        <f t="shared" si="0"/>
        <v>0</v>
      </c>
      <c r="S36" s="921">
        <v>1413210</v>
      </c>
      <c r="T36" s="921">
        <f t="shared" si="4"/>
        <v>228806</v>
      </c>
    </row>
    <row r="37" spans="1:20" ht="18" customHeight="1">
      <c r="A37" s="838" t="s">
        <v>271</v>
      </c>
      <c r="B37" s="839"/>
      <c r="C37" s="872" t="s">
        <v>239</v>
      </c>
      <c r="D37" s="820">
        <v>719561</v>
      </c>
      <c r="E37" s="840">
        <v>3147</v>
      </c>
      <c r="F37" s="840">
        <v>79.099999999999994</v>
      </c>
      <c r="G37" s="840">
        <v>80.5</v>
      </c>
      <c r="H37" s="820">
        <f>D37/G37</f>
        <v>8938.6459627329186</v>
      </c>
      <c r="I37" s="821" t="s">
        <v>185</v>
      </c>
      <c r="J37" s="822">
        <f t="shared" si="3"/>
        <v>52025.8</v>
      </c>
      <c r="K37" s="823"/>
      <c r="L37" s="812"/>
      <c r="M37" s="717">
        <f>'SUM2011'!D35</f>
        <v>1338548</v>
      </c>
      <c r="N37" s="717">
        <f t="shared" si="2"/>
        <v>-618987</v>
      </c>
      <c r="O37" s="910">
        <f t="shared" si="1"/>
        <v>-0.4624316797006906</v>
      </c>
      <c r="P37" s="842">
        <v>3147</v>
      </c>
      <c r="Q37" s="804">
        <f t="shared" si="0"/>
        <v>0</v>
      </c>
      <c r="S37" s="921">
        <v>863143</v>
      </c>
      <c r="T37" s="921">
        <f t="shared" si="4"/>
        <v>-143582</v>
      </c>
    </row>
    <row r="38" spans="1:20" ht="18" customHeight="1">
      <c r="A38" s="838" t="s">
        <v>312</v>
      </c>
      <c r="B38" s="839"/>
      <c r="C38" s="872" t="s">
        <v>165</v>
      </c>
      <c r="D38" s="818">
        <v>7576813</v>
      </c>
      <c r="E38" s="819">
        <v>15287</v>
      </c>
      <c r="F38" s="819">
        <v>231.9</v>
      </c>
      <c r="G38" s="819">
        <v>118.3</v>
      </c>
      <c r="H38" s="841">
        <f t="shared" ref="H38:H40" si="5">D38/G38</f>
        <v>64047.4471682164</v>
      </c>
      <c r="I38" s="821" t="s">
        <v>185</v>
      </c>
      <c r="J38" s="822">
        <f t="shared" si="3"/>
        <v>184103.00000000003</v>
      </c>
      <c r="K38" s="823"/>
      <c r="L38" s="812"/>
      <c r="M38" s="824">
        <f>'SUM2011'!D36</f>
        <v>7192404</v>
      </c>
      <c r="N38" s="824">
        <f>D38-M38</f>
        <v>384409</v>
      </c>
      <c r="O38" s="910">
        <f t="shared" si="1"/>
        <v>5.3446524972735124E-2</v>
      </c>
      <c r="P38" s="825">
        <v>15287</v>
      </c>
      <c r="Q38" s="804">
        <f>E38-P38</f>
        <v>0</v>
      </c>
      <c r="S38" s="921">
        <v>7608534</v>
      </c>
      <c r="T38" s="921">
        <f t="shared" si="4"/>
        <v>-31721</v>
      </c>
    </row>
    <row r="39" spans="1:20" ht="18" customHeight="1">
      <c r="A39" s="838" t="s">
        <v>273</v>
      </c>
      <c r="B39" s="839"/>
      <c r="C39" s="872" t="s">
        <v>274</v>
      </c>
      <c r="D39" s="820">
        <v>0</v>
      </c>
      <c r="E39" s="840">
        <v>2483.9</v>
      </c>
      <c r="F39" s="840">
        <v>0</v>
      </c>
      <c r="G39" s="840">
        <v>0</v>
      </c>
      <c r="H39" s="841">
        <v>0</v>
      </c>
      <c r="I39" s="821" t="s">
        <v>185</v>
      </c>
      <c r="J39" s="822">
        <f t="shared" si="3"/>
        <v>32732.560000000001</v>
      </c>
      <c r="K39" s="823"/>
      <c r="L39" s="812"/>
      <c r="M39" s="717">
        <f>'SUM2011'!D37</f>
        <v>0</v>
      </c>
      <c r="N39" s="717">
        <f t="shared" si="2"/>
        <v>0</v>
      </c>
      <c r="O39" s="910"/>
      <c r="P39" s="842">
        <v>2483.9</v>
      </c>
      <c r="Q39" s="804">
        <f t="shared" si="0"/>
        <v>0</v>
      </c>
      <c r="S39" s="921">
        <v>0</v>
      </c>
      <c r="T39" s="921">
        <f t="shared" si="4"/>
        <v>0</v>
      </c>
    </row>
    <row r="40" spans="1:20" ht="18" customHeight="1">
      <c r="A40" s="838" t="s">
        <v>296</v>
      </c>
      <c r="B40" s="839"/>
      <c r="C40" s="872" t="s">
        <v>217</v>
      </c>
      <c r="D40" s="820">
        <v>8014432</v>
      </c>
      <c r="E40" s="840">
        <v>9481</v>
      </c>
      <c r="F40" s="840">
        <v>581.20000000000005</v>
      </c>
      <c r="G40" s="840">
        <v>496.7</v>
      </c>
      <c r="H40" s="841">
        <f t="shared" si="5"/>
        <v>16135.35735856654</v>
      </c>
      <c r="I40" s="821" t="s">
        <v>185</v>
      </c>
      <c r="J40" s="822">
        <f t="shared" si="3"/>
        <v>181994.2</v>
      </c>
      <c r="K40" s="823"/>
      <c r="L40" s="812"/>
      <c r="M40" s="717">
        <f>'SUM2011'!D38</f>
        <v>8614847</v>
      </c>
      <c r="N40" s="717">
        <f t="shared" ref="N40:N46" si="6">D40-M40</f>
        <v>-600415</v>
      </c>
      <c r="O40" s="910">
        <f t="shared" si="1"/>
        <v>-6.9695375901626569E-2</v>
      </c>
      <c r="P40" s="842">
        <v>9481</v>
      </c>
      <c r="Q40" s="804">
        <f t="shared" si="0"/>
        <v>0</v>
      </c>
      <c r="S40" s="921">
        <v>8236226</v>
      </c>
      <c r="T40" s="921">
        <f t="shared" si="4"/>
        <v>-221794</v>
      </c>
    </row>
    <row r="41" spans="1:20" ht="18" customHeight="1">
      <c r="A41" s="838">
        <v>51</v>
      </c>
      <c r="B41" s="839"/>
      <c r="C41" s="872" t="s">
        <v>242</v>
      </c>
      <c r="D41" s="820">
        <v>0</v>
      </c>
      <c r="E41" s="840">
        <v>4314.3999999999996</v>
      </c>
      <c r="F41" s="840">
        <v>50.2</v>
      </c>
      <c r="G41" s="840">
        <v>0</v>
      </c>
      <c r="H41" s="841">
        <v>0</v>
      </c>
      <c r="I41" s="821" t="s">
        <v>185</v>
      </c>
      <c r="J41" s="822">
        <f t="shared" si="3"/>
        <v>51769.759999999995</v>
      </c>
      <c r="K41" s="823"/>
      <c r="L41" s="812"/>
      <c r="M41" s="717">
        <f>'SUM2011'!D39</f>
        <v>0</v>
      </c>
      <c r="N41" s="717">
        <f t="shared" si="6"/>
        <v>0</v>
      </c>
      <c r="O41" s="910"/>
      <c r="P41" s="842">
        <v>4314.3999999999996</v>
      </c>
      <c r="Q41" s="804">
        <f t="shared" si="0"/>
        <v>0</v>
      </c>
      <c r="S41" s="921">
        <v>0</v>
      </c>
      <c r="T41" s="921">
        <f t="shared" si="4"/>
        <v>0</v>
      </c>
    </row>
    <row r="42" spans="1:20" ht="18" customHeight="1">
      <c r="A42" s="838">
        <v>53</v>
      </c>
      <c r="B42" s="839"/>
      <c r="C42" s="872" t="s">
        <v>250</v>
      </c>
      <c r="D42" s="820">
        <v>1310805</v>
      </c>
      <c r="E42" s="840">
        <v>2308</v>
      </c>
      <c r="F42" s="840">
        <v>101.7</v>
      </c>
      <c r="G42" s="840">
        <v>181.2</v>
      </c>
      <c r="H42" s="841">
        <f>D42/G42</f>
        <v>7234.0231788079473</v>
      </c>
      <c r="I42" s="821" t="s">
        <v>185</v>
      </c>
      <c r="J42" s="822">
        <f>(G42*154)+6900+10.4*E42</f>
        <v>58808</v>
      </c>
      <c r="K42" s="823"/>
      <c r="L42" s="812"/>
      <c r="M42" s="717">
        <f>'SUM2011'!D40</f>
        <v>1353006</v>
      </c>
      <c r="N42" s="889">
        <f t="shared" si="6"/>
        <v>-42201</v>
      </c>
      <c r="O42" s="910">
        <f t="shared" si="1"/>
        <v>-3.1190549044128407E-2</v>
      </c>
      <c r="P42" s="842">
        <v>2308</v>
      </c>
      <c r="Q42" s="804">
        <f>E42-P42</f>
        <v>0</v>
      </c>
      <c r="S42" s="921">
        <v>1310805</v>
      </c>
      <c r="T42" s="921">
        <f t="shared" si="4"/>
        <v>0</v>
      </c>
    </row>
    <row r="43" spans="1:20" ht="18" customHeight="1">
      <c r="A43" s="838">
        <v>54</v>
      </c>
      <c r="B43" s="839"/>
      <c r="C43" s="872" t="s">
        <v>275</v>
      </c>
      <c r="D43" s="820">
        <v>2978598</v>
      </c>
      <c r="E43" s="840">
        <v>3838</v>
      </c>
      <c r="F43" s="840">
        <v>203.2</v>
      </c>
      <c r="G43" s="840">
        <v>155.80000000000001</v>
      </c>
      <c r="H43" s="841">
        <f t="shared" ref="H43" si="7">D43/G43</f>
        <v>19118.087291399228</v>
      </c>
      <c r="I43" s="890" t="s">
        <v>185</v>
      </c>
      <c r="J43" s="822">
        <f t="shared" ref="J43:J44" si="8">(G43*154)+6900+10.4*E43</f>
        <v>70808.400000000009</v>
      </c>
      <c r="K43" s="823"/>
      <c r="L43" s="812"/>
      <c r="M43" s="717">
        <f>'SUM2011'!D41</f>
        <v>2765429</v>
      </c>
      <c r="N43" s="717">
        <f t="shared" si="6"/>
        <v>213169</v>
      </c>
      <c r="O43" s="910">
        <f t="shared" si="1"/>
        <v>7.7083519410550763E-2</v>
      </c>
      <c r="P43" s="842">
        <v>3838</v>
      </c>
      <c r="Q43" s="804">
        <f t="shared" ref="Q43:Q44" si="9">E43-P43</f>
        <v>0</v>
      </c>
      <c r="S43" s="921">
        <v>3005676</v>
      </c>
      <c r="T43" s="921">
        <f t="shared" si="4"/>
        <v>-27078</v>
      </c>
    </row>
    <row r="44" spans="1:20">
      <c r="A44" s="926">
        <v>56</v>
      </c>
      <c r="C44" s="929" t="s">
        <v>309</v>
      </c>
      <c r="D44" s="928">
        <v>0</v>
      </c>
      <c r="E44" s="892">
        <v>278.89999999999998</v>
      </c>
      <c r="F44" s="892">
        <v>0</v>
      </c>
      <c r="G44" s="892">
        <v>0</v>
      </c>
      <c r="H44" s="841">
        <v>0</v>
      </c>
      <c r="I44" s="893"/>
      <c r="J44" s="822">
        <f t="shared" si="8"/>
        <v>9800.56</v>
      </c>
      <c r="K44" s="894"/>
      <c r="M44" s="717">
        <v>0</v>
      </c>
      <c r="N44" s="717">
        <f t="shared" si="6"/>
        <v>0</v>
      </c>
      <c r="O44" s="910"/>
      <c r="P44" s="892">
        <v>278.89999999999998</v>
      </c>
      <c r="Q44" s="804">
        <f t="shared" si="9"/>
        <v>0</v>
      </c>
      <c r="S44" s="921">
        <v>0</v>
      </c>
      <c r="T44" s="921">
        <f t="shared" si="4"/>
        <v>0</v>
      </c>
    </row>
    <row r="45" spans="1:20" ht="18" customHeight="1" thickBot="1">
      <c r="A45" s="838">
        <v>58</v>
      </c>
      <c r="B45" s="839"/>
      <c r="C45" s="872" t="s">
        <v>310</v>
      </c>
      <c r="D45" s="820">
        <v>0</v>
      </c>
      <c r="E45" s="840">
        <v>3427</v>
      </c>
      <c r="F45" s="840">
        <v>0</v>
      </c>
      <c r="G45" s="844">
        <v>0</v>
      </c>
      <c r="H45" s="895">
        <v>0</v>
      </c>
      <c r="I45" s="896" t="s">
        <v>185</v>
      </c>
      <c r="J45" s="847">
        <f t="shared" si="3"/>
        <v>42540.800000000003</v>
      </c>
      <c r="K45" s="875"/>
      <c r="L45" s="812"/>
      <c r="M45" s="717">
        <v>0</v>
      </c>
      <c r="N45" s="717">
        <f t="shared" si="6"/>
        <v>0</v>
      </c>
      <c r="O45" s="910"/>
      <c r="P45" s="850">
        <v>3427</v>
      </c>
      <c r="Q45" s="804">
        <f t="shared" si="0"/>
        <v>0</v>
      </c>
      <c r="S45" s="921">
        <v>0</v>
      </c>
      <c r="T45" s="921">
        <f t="shared" si="4"/>
        <v>0</v>
      </c>
    </row>
    <row r="46" spans="1:20" s="860" customFormat="1" ht="18" customHeight="1" thickTop="1">
      <c r="A46" s="851"/>
      <c r="B46" s="852"/>
      <c r="C46" s="853" t="s">
        <v>282</v>
      </c>
      <c r="D46" s="897">
        <f>SUM(D33:D45)</f>
        <v>30803103</v>
      </c>
      <c r="E46" s="898">
        <f>SUM(E33:E45)</f>
        <v>107772.09999999998</v>
      </c>
      <c r="F46" s="898">
        <f>SUM(F33:F45)</f>
        <v>1572.5000000000002</v>
      </c>
      <c r="G46" s="855">
        <f>SUM(G33:G45)</f>
        <v>1701.1</v>
      </c>
      <c r="H46" s="854"/>
      <c r="I46" s="856" t="s">
        <v>185</v>
      </c>
      <c r="J46" s="810">
        <f>SUM(J33:J45)</f>
        <v>1472499.24</v>
      </c>
      <c r="K46" s="857"/>
      <c r="L46" s="858"/>
      <c r="M46" s="899">
        <f>SUM(M33:M45)</f>
        <v>32320956</v>
      </c>
      <c r="N46" s="899">
        <f t="shared" si="6"/>
        <v>-1517853</v>
      </c>
      <c r="O46" s="910">
        <f t="shared" si="1"/>
        <v>-4.6961884419507889E-2</v>
      </c>
      <c r="P46" s="900">
        <f>SUM(P33:P45)</f>
        <v>107772.09999999998</v>
      </c>
      <c r="Q46" s="862"/>
      <c r="S46" s="927"/>
      <c r="T46" s="927"/>
    </row>
    <row r="47" spans="1:20" ht="18" customHeight="1">
      <c r="A47" s="829" t="s">
        <v>86</v>
      </c>
      <c r="B47" s="830"/>
      <c r="C47" s="831"/>
      <c r="D47" s="820"/>
      <c r="E47" s="840"/>
      <c r="F47" s="840"/>
      <c r="G47" s="833"/>
      <c r="H47" s="832"/>
      <c r="I47" s="834"/>
      <c r="J47" s="835"/>
      <c r="K47" s="836"/>
      <c r="L47" s="812"/>
      <c r="M47" s="717"/>
      <c r="N47" s="717"/>
      <c r="O47" s="910"/>
      <c r="P47" s="837"/>
    </row>
    <row r="48" spans="1:20" ht="18" customHeight="1" thickBot="1">
      <c r="A48" s="901" t="s">
        <v>252</v>
      </c>
      <c r="B48" s="902"/>
      <c r="C48" s="930" t="s">
        <v>139</v>
      </c>
      <c r="D48" s="843">
        <v>1357420</v>
      </c>
      <c r="E48" s="844">
        <v>6219</v>
      </c>
      <c r="F48" s="844">
        <v>43.6</v>
      </c>
      <c r="G48" s="844">
        <v>84.2</v>
      </c>
      <c r="H48" s="843">
        <f>D48/G48</f>
        <v>16121.377672209026</v>
      </c>
      <c r="I48" s="874" t="s">
        <v>185</v>
      </c>
      <c r="J48" s="903">
        <f>(G48*154)+6900+10.4*E48</f>
        <v>84544.400000000009</v>
      </c>
      <c r="K48" s="875"/>
      <c r="L48" s="812"/>
      <c r="M48" s="849">
        <f>'SUM2011'!D44</f>
        <v>1826445</v>
      </c>
      <c r="N48" s="849">
        <f>D48-M48</f>
        <v>-469025</v>
      </c>
      <c r="O48" s="910">
        <f t="shared" si="1"/>
        <v>-0.2567966733189338</v>
      </c>
      <c r="P48" s="850">
        <v>6219</v>
      </c>
      <c r="Q48" s="804">
        <f t="shared" si="0"/>
        <v>0</v>
      </c>
      <c r="R48" s="879"/>
    </row>
    <row r="49" spans="1:18" s="793" customFormat="1" ht="27.75" customHeight="1" thickTop="1" thickBot="1">
      <c r="A49" s="1942" t="s">
        <v>44</v>
      </c>
      <c r="B49" s="1943"/>
      <c r="C49" s="1944"/>
      <c r="D49" s="904">
        <f>SUM(D4,D6,D11,D13,D15,D19,D23,D27,D31,D46,D48)</f>
        <v>43536176</v>
      </c>
      <c r="E49" s="905">
        <f>SUM(E4,E6,E11,E13,E15,E19,E23,E27,E31,E46,E48)</f>
        <v>192875.8</v>
      </c>
      <c r="F49" s="905">
        <f>SUM(F4,F6,F11,F13,F15,F19,F23,F27,F31,F46,F48)</f>
        <v>3622.5000000000005</v>
      </c>
      <c r="G49" s="905">
        <f>SUM(G4,G6,G11,G13,G15,G19,G23,G27,G31,G46,G48)</f>
        <v>2790.3999999999996</v>
      </c>
      <c r="H49" s="904">
        <f>D49/G49</f>
        <v>15602.127293577983</v>
      </c>
      <c r="I49" s="906" t="s">
        <v>185</v>
      </c>
      <c r="J49" s="907">
        <f>SUM(J4,J6,J11,J13,J15,J19,J23,J27,J31,J46,J48)</f>
        <v>2635729.9199999999</v>
      </c>
      <c r="K49" s="908"/>
      <c r="L49" s="891"/>
      <c r="M49" s="996">
        <f>SUM(M4,M6,M11,M13,M15,M19,M21,M27,M31,M46,M48)</f>
        <v>45587404</v>
      </c>
      <c r="N49" s="909">
        <f>D49-M49</f>
        <v>-2051228</v>
      </c>
      <c r="O49" s="910">
        <f>N49/M49</f>
        <v>-4.4995499195347906E-2</v>
      </c>
      <c r="P49" s="911">
        <f>SUM(P4,P6,P11,P13,P15,P19,P23,P27,P31,P46,P48)</f>
        <v>192875.8</v>
      </c>
      <c r="Q49" s="804">
        <f t="shared" si="0"/>
        <v>0</v>
      </c>
      <c r="R49" s="912">
        <f>Q49/P49</f>
        <v>0</v>
      </c>
    </row>
    <row r="50" spans="1:18" s="793" customFormat="1" ht="18" customHeight="1">
      <c r="A50" s="891"/>
      <c r="B50" s="891"/>
      <c r="C50" s="891"/>
      <c r="D50" s="913"/>
      <c r="E50" s="914"/>
      <c r="F50" s="914"/>
      <c r="G50" s="915"/>
      <c r="H50" s="916"/>
      <c r="I50" s="917"/>
      <c r="J50" s="918"/>
      <c r="K50" s="917"/>
      <c r="L50" s="891"/>
      <c r="M50" s="913"/>
      <c r="O50" s="919"/>
      <c r="P50" s="915"/>
      <c r="Q50" s="804"/>
    </row>
    <row r="51" spans="1:18" s="793" customFormat="1" ht="18" customHeight="1">
      <c r="A51" s="891"/>
      <c r="B51" s="891"/>
      <c r="C51" s="891"/>
      <c r="D51" s="913"/>
      <c r="E51" s="914"/>
      <c r="F51" s="914"/>
      <c r="G51" s="914"/>
      <c r="H51" s="913"/>
      <c r="I51" s="920"/>
      <c r="J51" s="918"/>
      <c r="K51" s="920"/>
      <c r="L51" s="891"/>
      <c r="M51" s="913"/>
      <c r="N51" s="921"/>
      <c r="P51" s="914"/>
      <c r="Q51" s="804"/>
    </row>
    <row r="52" spans="1:18" s="793" customFormat="1" ht="18" customHeight="1">
      <c r="A52" s="891"/>
      <c r="B52" s="891"/>
      <c r="C52" s="891"/>
      <c r="D52" s="913"/>
      <c r="E52" s="914"/>
      <c r="F52" s="922" t="s">
        <v>318</v>
      </c>
      <c r="G52" s="914">
        <f>G49-'SUM2011'!G45</f>
        <v>-450.40000000000009</v>
      </c>
      <c r="H52" s="913"/>
      <c r="I52" s="920"/>
      <c r="J52" s="918">
        <f>(29*6900)+(E49*10.4)+(G49*154)</f>
        <v>2635729.9199999999</v>
      </c>
      <c r="K52" s="920"/>
      <c r="L52" s="891"/>
      <c r="M52" s="913"/>
      <c r="N52" s="912"/>
      <c r="P52" s="914"/>
      <c r="Q52" s="804"/>
    </row>
    <row r="53" spans="1:18" s="793" customFormat="1">
      <c r="A53" s="891"/>
      <c r="B53" s="891"/>
      <c r="C53" s="891"/>
      <c r="D53" s="913"/>
      <c r="E53" s="914"/>
      <c r="F53" s="922" t="s">
        <v>319</v>
      </c>
      <c r="G53" s="923">
        <f>G52/'SUM2011'!G45</f>
        <v>-0.13897803011602078</v>
      </c>
      <c r="H53" s="913"/>
      <c r="I53" s="920"/>
      <c r="J53" s="918">
        <f>J52-J49</f>
        <v>0</v>
      </c>
      <c r="K53" s="924" t="s">
        <v>283</v>
      </c>
      <c r="L53" s="891"/>
      <c r="M53" s="913"/>
      <c r="P53" s="914"/>
      <c r="Q53" s="804"/>
    </row>
    <row r="55" spans="1:18" s="793" customFormat="1">
      <c r="A55" s="891"/>
      <c r="B55" s="891"/>
      <c r="C55" s="891"/>
      <c r="D55" s="913"/>
      <c r="E55" s="914"/>
      <c r="F55" s="914"/>
      <c r="G55" s="914"/>
      <c r="H55" s="913"/>
      <c r="I55" s="920"/>
      <c r="J55" s="918"/>
      <c r="K55" s="920"/>
      <c r="L55" s="891"/>
      <c r="M55" s="913"/>
      <c r="N55" s="925"/>
      <c r="P55" s="914"/>
      <c r="Q55" s="804"/>
    </row>
  </sheetData>
  <mergeCells count="16">
    <mergeCell ref="O1:O2"/>
    <mergeCell ref="P1:P2"/>
    <mergeCell ref="Q1:Q2"/>
    <mergeCell ref="A49:C49"/>
    <mergeCell ref="H1:H2"/>
    <mergeCell ref="I1:I2"/>
    <mergeCell ref="J1:J2"/>
    <mergeCell ref="K1:K2"/>
    <mergeCell ref="M1:M2"/>
    <mergeCell ref="N1:N2"/>
    <mergeCell ref="A1:B2"/>
    <mergeCell ref="C1:C2"/>
    <mergeCell ref="D1:D2"/>
    <mergeCell ref="E1:E2"/>
    <mergeCell ref="F1:F2"/>
    <mergeCell ref="G1:G2"/>
  </mergeCells>
  <pageMargins left="0.25" right="0.25" top="1" bottom="0.75" header="0.3" footer="0.3"/>
  <pageSetup scale="66" orientation="portrait" r:id="rId1"/>
  <headerFooter>
    <oddHeader>&amp;C&amp;"Arial,Bold"&amp;14Summary of 2012 Annual Coal Production Reports and Fee Payments</oddHeader>
    <oddFooter>&amp;L&amp;D</oddFooter>
  </headerFooter>
  <ignoredErrors>
    <ignoredError sqref="J43:J45 F49:H49 H48" unlockedFormula="1"/>
    <ignoredError sqref="H17:H18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R51"/>
  <sheetViews>
    <sheetView zoomScale="63" zoomScaleNormal="63" workbookViewId="0">
      <pane xSplit="3" ySplit="2" topLeftCell="D6" activePane="bottomRight" state="frozen"/>
      <selection activeCell="E51" sqref="E51"/>
      <selection pane="topRight" activeCell="E51" sqref="E51"/>
      <selection pane="bottomLeft" activeCell="E51" sqref="E51"/>
      <selection pane="bottomRight" activeCell="E51" sqref="E51"/>
    </sheetView>
  </sheetViews>
  <sheetFormatPr defaultColWidth="9.140625" defaultRowHeight="18" customHeight="1"/>
  <cols>
    <col min="1" max="1" width="11.28515625" style="667" customWidth="1"/>
    <col min="2" max="2" width="2.42578125" style="667" customWidth="1"/>
    <col min="3" max="3" width="33.42578125" style="667" customWidth="1"/>
    <col min="4" max="4" width="20.7109375" style="668" customWidth="1"/>
    <col min="5" max="5" width="16.140625" style="674" customWidth="1"/>
    <col min="6" max="6" width="15.7109375" style="674" customWidth="1"/>
    <col min="7" max="7" width="16.140625" style="674" customWidth="1"/>
    <col min="8" max="8" width="16.140625" style="668" customWidth="1"/>
    <col min="9" max="9" width="3.140625" style="670" customWidth="1"/>
    <col min="10" max="10" width="17.85546875" style="741" customWidth="1"/>
    <col min="11" max="11" width="4" style="670" customWidth="1"/>
    <col min="12" max="12" width="5.85546875" style="667" customWidth="1"/>
    <col min="13" max="13" width="19.7109375" style="772" customWidth="1"/>
    <col min="14" max="14" width="18" style="745" customWidth="1"/>
    <col min="15" max="15" width="11.28515625" style="745" customWidth="1"/>
    <col min="16" max="16" width="17.7109375" style="775" customWidth="1"/>
    <col min="17" max="17" width="10.42578125" style="675" bestFit="1" customWidth="1"/>
    <col min="18" max="18" width="9.5703125" style="673" customWidth="1"/>
    <col min="19" max="16384" width="9.140625" style="673"/>
  </cols>
  <sheetData>
    <row r="1" spans="1:17" ht="18" customHeight="1">
      <c r="A1" s="2016" t="s">
        <v>6</v>
      </c>
      <c r="B1" s="2017"/>
      <c r="C1" s="2041" t="s">
        <v>162</v>
      </c>
      <c r="D1" s="2025" t="s">
        <v>292</v>
      </c>
      <c r="E1" s="2036" t="s">
        <v>289</v>
      </c>
      <c r="F1" s="2036" t="s">
        <v>187</v>
      </c>
      <c r="G1" s="2036" t="s">
        <v>288</v>
      </c>
      <c r="H1" s="2025" t="s">
        <v>238</v>
      </c>
      <c r="I1" s="2039" t="s">
        <v>184</v>
      </c>
      <c r="J1" s="2030" t="s">
        <v>164</v>
      </c>
      <c r="K1" s="2032" t="s">
        <v>184</v>
      </c>
      <c r="L1" s="724"/>
      <c r="M1" s="2034" t="s">
        <v>277</v>
      </c>
      <c r="N1" s="2023" t="s">
        <v>208</v>
      </c>
      <c r="O1" s="2015" t="s">
        <v>299</v>
      </c>
      <c r="P1" s="2020" t="s">
        <v>295</v>
      </c>
      <c r="Q1" s="2022"/>
    </row>
    <row r="2" spans="1:17" ht="42" customHeight="1" thickBot="1">
      <c r="A2" s="2018"/>
      <c r="B2" s="2019"/>
      <c r="C2" s="2042"/>
      <c r="D2" s="2043"/>
      <c r="E2" s="2037"/>
      <c r="F2" s="2037"/>
      <c r="G2" s="2038"/>
      <c r="H2" s="2026"/>
      <c r="I2" s="2040"/>
      <c r="J2" s="2031"/>
      <c r="K2" s="2033"/>
      <c r="L2" s="724"/>
      <c r="M2" s="2035"/>
      <c r="N2" s="2024"/>
      <c r="O2" s="2015"/>
      <c r="P2" s="2021"/>
      <c r="Q2" s="2022"/>
    </row>
    <row r="3" spans="1:17" ht="18" customHeight="1">
      <c r="A3" s="600" t="s">
        <v>110</v>
      </c>
      <c r="B3" s="601"/>
      <c r="C3" s="602"/>
      <c r="D3" s="603"/>
      <c r="E3" s="685"/>
      <c r="F3" s="685"/>
      <c r="G3" s="685"/>
      <c r="H3" s="603"/>
      <c r="I3" s="605"/>
      <c r="J3" s="606"/>
      <c r="K3" s="725"/>
      <c r="L3" s="726"/>
      <c r="M3" s="743"/>
      <c r="N3" s="744"/>
      <c r="P3" s="746"/>
    </row>
    <row r="4" spans="1:17" ht="18" customHeight="1">
      <c r="A4" s="607" t="s">
        <v>249</v>
      </c>
      <c r="B4" s="608"/>
      <c r="C4" s="609" t="s">
        <v>125</v>
      </c>
      <c r="D4" s="610">
        <v>0</v>
      </c>
      <c r="E4" s="686">
        <v>10043</v>
      </c>
      <c r="F4" s="686">
        <v>0</v>
      </c>
      <c r="G4" s="686">
        <v>0</v>
      </c>
      <c r="H4" s="610">
        <v>0</v>
      </c>
      <c r="I4" s="612" t="s">
        <v>185</v>
      </c>
      <c r="J4" s="613">
        <f>(G4*154)+6900+(10.4*E4)</f>
        <v>111347.2</v>
      </c>
      <c r="K4" s="727"/>
      <c r="L4" s="728"/>
      <c r="M4" s="747">
        <f>'SUM2009'!D4</f>
        <v>0</v>
      </c>
      <c r="N4" s="748">
        <f>D4-M4</f>
        <v>0</v>
      </c>
      <c r="P4" s="749">
        <v>10043</v>
      </c>
      <c r="Q4" s="675">
        <f>E4-P4</f>
        <v>0</v>
      </c>
    </row>
    <row r="5" spans="1:17" ht="18" customHeight="1">
      <c r="A5" s="614" t="s">
        <v>246</v>
      </c>
      <c r="B5" s="615"/>
      <c r="C5" s="616"/>
      <c r="D5" s="617"/>
      <c r="E5" s="687"/>
      <c r="F5" s="687"/>
      <c r="G5" s="687"/>
      <c r="H5" s="619"/>
      <c r="I5" s="620"/>
      <c r="J5" s="621"/>
      <c r="K5" s="729"/>
      <c r="L5" s="728"/>
      <c r="M5" s="750"/>
      <c r="N5" s="751"/>
      <c r="P5" s="752"/>
    </row>
    <row r="6" spans="1:17" ht="18" customHeight="1">
      <c r="A6" s="607" t="s">
        <v>240</v>
      </c>
      <c r="B6" s="622"/>
      <c r="C6" s="609" t="s">
        <v>144</v>
      </c>
      <c r="D6" s="610">
        <v>0</v>
      </c>
      <c r="E6" s="686">
        <v>803</v>
      </c>
      <c r="F6" s="686">
        <v>0</v>
      </c>
      <c r="G6" s="686">
        <v>0</v>
      </c>
      <c r="H6" s="623">
        <v>0</v>
      </c>
      <c r="I6" s="612" t="s">
        <v>185</v>
      </c>
      <c r="J6" s="624">
        <f>(G6*154)+6900+10.4*E6</f>
        <v>15251.2</v>
      </c>
      <c r="K6" s="727"/>
      <c r="L6" s="728"/>
      <c r="M6" s="747">
        <f>'SUM2009'!D8</f>
        <v>0</v>
      </c>
      <c r="N6" s="748">
        <f>D6-M6</f>
        <v>0</v>
      </c>
      <c r="P6" s="749">
        <v>803</v>
      </c>
      <c r="Q6" s="675">
        <f>E6-P6</f>
        <v>0</v>
      </c>
    </row>
    <row r="7" spans="1:17" ht="18" customHeight="1">
      <c r="A7" s="625" t="s">
        <v>147</v>
      </c>
      <c r="B7" s="626"/>
      <c r="C7" s="627"/>
      <c r="D7" s="628"/>
      <c r="E7" s="688"/>
      <c r="F7" s="688"/>
      <c r="G7" s="688"/>
      <c r="H7" s="628"/>
      <c r="I7" s="630"/>
      <c r="J7" s="631"/>
      <c r="K7" s="730"/>
      <c r="L7" s="728"/>
      <c r="M7" s="753"/>
      <c r="N7" s="754"/>
      <c r="P7" s="755"/>
    </row>
    <row r="8" spans="1:17" ht="18" customHeight="1">
      <c r="A8" s="632" t="s">
        <v>223</v>
      </c>
      <c r="B8" s="633"/>
      <c r="C8" s="616" t="s">
        <v>127</v>
      </c>
      <c r="D8" s="619">
        <v>0</v>
      </c>
      <c r="E8" s="689">
        <v>2785</v>
      </c>
      <c r="F8" s="689">
        <v>0</v>
      </c>
      <c r="G8" s="689">
        <v>0</v>
      </c>
      <c r="H8" s="635">
        <v>0</v>
      </c>
      <c r="I8" s="620" t="s">
        <v>185</v>
      </c>
      <c r="J8" s="621">
        <f>(G8*154)+6900+(10.4*E8)</f>
        <v>35864</v>
      </c>
      <c r="K8" s="729"/>
      <c r="L8" s="728"/>
      <c r="M8" s="756">
        <f>'SUM2009'!D10</f>
        <v>0</v>
      </c>
      <c r="N8" s="757">
        <f>D8-M8</f>
        <v>0</v>
      </c>
      <c r="P8" s="758">
        <v>2785</v>
      </c>
      <c r="Q8" s="675">
        <f>E8-P8</f>
        <v>0</v>
      </c>
    </row>
    <row r="9" spans="1:17" ht="18" customHeight="1">
      <c r="A9" s="632" t="s">
        <v>224</v>
      </c>
      <c r="B9" s="633"/>
      <c r="C9" s="616" t="s">
        <v>128</v>
      </c>
      <c r="D9" s="619">
        <v>0</v>
      </c>
      <c r="E9" s="689">
        <v>682.8</v>
      </c>
      <c r="F9" s="689">
        <v>0</v>
      </c>
      <c r="G9" s="689">
        <v>0</v>
      </c>
      <c r="H9" s="619">
        <v>0</v>
      </c>
      <c r="I9" s="620" t="s">
        <v>185</v>
      </c>
      <c r="J9" s="621">
        <f>(G9*154)+6900+(10.4*E9)</f>
        <v>14001.119999999999</v>
      </c>
      <c r="K9" s="729"/>
      <c r="L9" s="728"/>
      <c r="M9" s="756">
        <f>'SUM2009'!D11</f>
        <v>0</v>
      </c>
      <c r="N9" s="757">
        <f>D9-M9</f>
        <v>0</v>
      </c>
      <c r="P9" s="758">
        <v>682.8</v>
      </c>
      <c r="Q9" s="675">
        <f>E9-P9</f>
        <v>0</v>
      </c>
    </row>
    <row r="10" spans="1:17" ht="18" customHeight="1" thickBot="1">
      <c r="A10" s="632" t="s">
        <v>291</v>
      </c>
      <c r="B10" s="633"/>
      <c r="C10" s="616" t="s">
        <v>177</v>
      </c>
      <c r="D10" s="636">
        <v>0</v>
      </c>
      <c r="E10" s="690">
        <v>536.20000000000005</v>
      </c>
      <c r="F10" s="690">
        <v>0</v>
      </c>
      <c r="G10" s="690">
        <v>0</v>
      </c>
      <c r="H10" s="638">
        <v>0</v>
      </c>
      <c r="I10" s="639" t="s">
        <v>185</v>
      </c>
      <c r="J10" s="640">
        <f>(G10*154)+6900+(10.4*E10)</f>
        <v>12476.48</v>
      </c>
      <c r="K10" s="731"/>
      <c r="L10" s="728"/>
      <c r="M10" s="759">
        <f>'SUM2009'!D12</f>
        <v>0</v>
      </c>
      <c r="N10" s="760">
        <f>D10-M10</f>
        <v>0</v>
      </c>
      <c r="P10" s="761">
        <v>536.20000000000005</v>
      </c>
      <c r="Q10" s="675">
        <f>E10-P10</f>
        <v>0</v>
      </c>
    </row>
    <row r="11" spans="1:17" ht="18" customHeight="1" thickTop="1">
      <c r="A11" s="641"/>
      <c r="B11" s="622"/>
      <c r="C11" s="642" t="s">
        <v>278</v>
      </c>
      <c r="D11" s="643">
        <f>SUM(D8:D10)</f>
        <v>0</v>
      </c>
      <c r="E11" s="691">
        <f>SUM(E8:E10)</f>
        <v>4004</v>
      </c>
      <c r="F11" s="691">
        <f>SUM(F8:F10)</f>
        <v>0</v>
      </c>
      <c r="G11" s="691">
        <f>SUM(G8:G10)</f>
        <v>0</v>
      </c>
      <c r="H11" s="643">
        <f>SUM(H8:H10)</f>
        <v>0</v>
      </c>
      <c r="I11" s="645" t="s">
        <v>185</v>
      </c>
      <c r="J11" s="613">
        <f>SUM(J8:J10)</f>
        <v>62341.599999999991</v>
      </c>
      <c r="K11" s="732"/>
      <c r="L11" s="728"/>
      <c r="M11" s="762">
        <f>SUM(M8:M10)</f>
        <v>0</v>
      </c>
      <c r="N11" s="763">
        <f>D11-M11</f>
        <v>0</v>
      </c>
      <c r="P11" s="749">
        <f>SUM(P8:P10)</f>
        <v>4004</v>
      </c>
    </row>
    <row r="12" spans="1:17" ht="18" customHeight="1">
      <c r="A12" s="625" t="s">
        <v>72</v>
      </c>
      <c r="B12" s="626"/>
      <c r="C12" s="627"/>
      <c r="D12" s="628"/>
      <c r="E12" s="688"/>
      <c r="F12" s="688"/>
      <c r="G12" s="688"/>
      <c r="H12" s="628"/>
      <c r="I12" s="630"/>
      <c r="J12" s="631"/>
      <c r="K12" s="730"/>
      <c r="L12" s="728"/>
      <c r="M12" s="753"/>
      <c r="N12" s="754"/>
      <c r="P12" s="755"/>
    </row>
    <row r="13" spans="1:17" ht="18" customHeight="1">
      <c r="A13" s="607" t="s">
        <v>226</v>
      </c>
      <c r="B13" s="608"/>
      <c r="C13" s="609" t="s">
        <v>131</v>
      </c>
      <c r="D13" s="610">
        <v>0</v>
      </c>
      <c r="E13" s="686">
        <v>437</v>
      </c>
      <c r="F13" s="686">
        <v>0</v>
      </c>
      <c r="G13" s="686">
        <v>0</v>
      </c>
      <c r="H13" s="623">
        <v>0</v>
      </c>
      <c r="I13" s="612" t="s">
        <v>185</v>
      </c>
      <c r="J13" s="624">
        <f>(G13*154)+6900+10.4*E13</f>
        <v>11444.8</v>
      </c>
      <c r="K13" s="727"/>
      <c r="L13" s="728"/>
      <c r="M13" s="747">
        <f>'SUM2009'!D15</f>
        <v>0</v>
      </c>
      <c r="N13" s="748">
        <f>D13-M13</f>
        <v>0</v>
      </c>
      <c r="P13" s="749">
        <v>437</v>
      </c>
      <c r="Q13" s="675">
        <f t="shared" ref="Q13:Q45" si="0">E13-P13</f>
        <v>0</v>
      </c>
    </row>
    <row r="14" spans="1:17" ht="18" customHeight="1">
      <c r="A14" s="625" t="s">
        <v>180</v>
      </c>
      <c r="B14" s="626"/>
      <c r="C14" s="627"/>
      <c r="D14" s="628"/>
      <c r="E14" s="688"/>
      <c r="F14" s="688"/>
      <c r="G14" s="688"/>
      <c r="H14" s="628"/>
      <c r="I14" s="630"/>
      <c r="J14" s="631"/>
      <c r="K14" s="730"/>
      <c r="L14" s="728"/>
      <c r="M14" s="753"/>
      <c r="N14" s="754"/>
      <c r="P14" s="755"/>
    </row>
    <row r="15" spans="1:17" ht="18" customHeight="1">
      <c r="A15" s="632" t="s">
        <v>227</v>
      </c>
      <c r="B15" s="633"/>
      <c r="C15" s="616" t="s">
        <v>132</v>
      </c>
      <c r="D15" s="619">
        <v>1479924</v>
      </c>
      <c r="E15" s="689">
        <v>17013.400000000001</v>
      </c>
      <c r="F15" s="689">
        <v>16</v>
      </c>
      <c r="G15" s="689">
        <v>77.599999999999994</v>
      </c>
      <c r="H15" s="619">
        <f>D15/G15</f>
        <v>19071.18556701031</v>
      </c>
      <c r="I15" s="620" t="s">
        <v>185</v>
      </c>
      <c r="J15" s="621">
        <f>(G15*154)+6900+10.4*E15</f>
        <v>195789.76</v>
      </c>
      <c r="K15" s="729"/>
      <c r="L15" s="728"/>
      <c r="M15" s="756">
        <v>848262</v>
      </c>
      <c r="N15" s="757">
        <f>D15-M15</f>
        <v>631662</v>
      </c>
      <c r="P15" s="758">
        <v>17013.400000000001</v>
      </c>
      <c r="Q15" s="675">
        <f t="shared" si="0"/>
        <v>0</v>
      </c>
    </row>
    <row r="16" spans="1:17" ht="18" customHeight="1" thickBot="1">
      <c r="A16" s="632" t="s">
        <v>253</v>
      </c>
      <c r="B16" s="633"/>
      <c r="C16" s="616" t="s">
        <v>157</v>
      </c>
      <c r="D16" s="636">
        <v>2741622</v>
      </c>
      <c r="E16" s="690">
        <v>5198.6000000000004</v>
      </c>
      <c r="F16" s="690">
        <v>121</v>
      </c>
      <c r="G16" s="690">
        <v>154.6</v>
      </c>
      <c r="H16" s="636">
        <f>D16/G16</f>
        <v>17733.648124191463</v>
      </c>
      <c r="I16" s="646" t="s">
        <v>185</v>
      </c>
      <c r="J16" s="640">
        <f>ROUNDUP((G16*154)+6900+10.4*E16,2)</f>
        <v>84773.84</v>
      </c>
      <c r="K16" s="733"/>
      <c r="L16" s="728"/>
      <c r="M16" s="759">
        <v>3332661</v>
      </c>
      <c r="N16" s="760">
        <f>D16-M16</f>
        <v>-591039</v>
      </c>
      <c r="P16" s="761">
        <v>5198.6000000000004</v>
      </c>
      <c r="Q16" s="675">
        <f t="shared" si="0"/>
        <v>0</v>
      </c>
    </row>
    <row r="17" spans="1:18" ht="18" customHeight="1" thickTop="1">
      <c r="A17" s="641"/>
      <c r="B17" s="622"/>
      <c r="C17" s="642" t="s">
        <v>279</v>
      </c>
      <c r="D17" s="643">
        <f>SUM(D15:D16)</f>
        <v>4221546</v>
      </c>
      <c r="E17" s="691">
        <f>SUM(E15:E16)</f>
        <v>22212</v>
      </c>
      <c r="F17" s="691">
        <f>SUM(F15:F16)</f>
        <v>137</v>
      </c>
      <c r="G17" s="691">
        <f>SUM(G15:G16)</f>
        <v>232.2</v>
      </c>
      <c r="H17" s="643">
        <f>D17/G17</f>
        <v>18180.645994832041</v>
      </c>
      <c r="I17" s="647" t="s">
        <v>185</v>
      </c>
      <c r="J17" s="648">
        <f>ROUNDUP(SUM(J15:J16),2)</f>
        <v>280563.59999999998</v>
      </c>
      <c r="K17" s="734"/>
      <c r="L17" s="728"/>
      <c r="M17" s="762">
        <f>SUM(M15:M16)</f>
        <v>4180923</v>
      </c>
      <c r="N17" s="763">
        <f>D17-M17</f>
        <v>40623</v>
      </c>
      <c r="P17" s="749">
        <f>SUM(P15:P16)</f>
        <v>22212</v>
      </c>
    </row>
    <row r="18" spans="1:18" ht="18" customHeight="1">
      <c r="A18" s="625" t="s">
        <v>75</v>
      </c>
      <c r="B18" s="626"/>
      <c r="C18" s="627"/>
      <c r="D18" s="628"/>
      <c r="E18" s="688"/>
      <c r="F18" s="688"/>
      <c r="G18" s="688"/>
      <c r="H18" s="628"/>
      <c r="I18" s="630"/>
      <c r="J18" s="631"/>
      <c r="K18" s="730"/>
      <c r="L18" s="728"/>
      <c r="M18" s="753"/>
      <c r="N18" s="754"/>
      <c r="P18" s="755"/>
      <c r="R18" s="735"/>
    </row>
    <row r="19" spans="1:18" ht="18" customHeight="1">
      <c r="A19" s="632" t="s">
        <v>290</v>
      </c>
      <c r="B19" s="633"/>
      <c r="C19" s="616" t="s">
        <v>216</v>
      </c>
      <c r="D19" s="619">
        <v>4014304</v>
      </c>
      <c r="E19" s="689">
        <v>19586.7</v>
      </c>
      <c r="F19" s="689">
        <v>157.69999999999999</v>
      </c>
      <c r="G19" s="689">
        <v>313.8</v>
      </c>
      <c r="H19" s="619">
        <f>D19/G19</f>
        <v>12792.555768005099</v>
      </c>
      <c r="I19" s="620" t="s">
        <v>185</v>
      </c>
      <c r="J19" s="621">
        <f>6900+E19*10.4+G19*154</f>
        <v>258926.88000000003</v>
      </c>
      <c r="K19" s="729"/>
      <c r="L19" s="728"/>
      <c r="M19" s="756">
        <v>4568991</v>
      </c>
      <c r="N19" s="757">
        <f>D19-M19</f>
        <v>-554687</v>
      </c>
      <c r="P19" s="758">
        <v>19586.7</v>
      </c>
      <c r="Q19" s="675">
        <f t="shared" si="0"/>
        <v>0</v>
      </c>
      <c r="R19" s="736"/>
    </row>
    <row r="20" spans="1:18" ht="18" customHeight="1" thickBot="1">
      <c r="A20" s="632">
        <v>55</v>
      </c>
      <c r="B20" s="633"/>
      <c r="C20" s="616" t="s">
        <v>293</v>
      </c>
      <c r="D20" s="636">
        <v>0</v>
      </c>
      <c r="E20" s="690">
        <v>2811</v>
      </c>
      <c r="F20" s="690">
        <v>607.1</v>
      </c>
      <c r="G20" s="690">
        <v>0</v>
      </c>
      <c r="H20" s="636">
        <v>0</v>
      </c>
      <c r="I20" s="646" t="s">
        <v>185</v>
      </c>
      <c r="J20" s="640">
        <f>6900+E20*10.4+G20*154-0.4</f>
        <v>36134</v>
      </c>
      <c r="K20" s="733"/>
      <c r="L20" s="728"/>
      <c r="M20" s="759"/>
      <c r="N20" s="760"/>
      <c r="P20" s="761">
        <v>2811</v>
      </c>
      <c r="Q20" s="675">
        <f t="shared" si="0"/>
        <v>0</v>
      </c>
      <c r="R20" s="736"/>
    </row>
    <row r="21" spans="1:18" ht="18" customHeight="1" thickTop="1">
      <c r="A21" s="632"/>
      <c r="B21" s="633"/>
      <c r="C21" s="683" t="s">
        <v>294</v>
      </c>
      <c r="D21" s="684">
        <f>SUM(D19:D20)</f>
        <v>4014304</v>
      </c>
      <c r="E21" s="692">
        <f>SUM(E19:E20)</f>
        <v>22397.7</v>
      </c>
      <c r="F21" s="692">
        <f>SUM(F19:F20)</f>
        <v>764.8</v>
      </c>
      <c r="G21" s="692">
        <f>SUM(G19:G20)</f>
        <v>313.8</v>
      </c>
      <c r="H21" s="684">
        <f>D21/G21</f>
        <v>12792.555768005099</v>
      </c>
      <c r="I21" s="682" t="s">
        <v>185</v>
      </c>
      <c r="J21" s="681">
        <f>SUM(J19:J20)</f>
        <v>295060.88</v>
      </c>
      <c r="K21" s="729"/>
      <c r="L21" s="728"/>
      <c r="M21" s="756"/>
      <c r="N21" s="757"/>
      <c r="P21" s="758">
        <f>E21</f>
        <v>22397.7</v>
      </c>
      <c r="R21" s="736"/>
    </row>
    <row r="22" spans="1:18" ht="18" customHeight="1">
      <c r="A22" s="625" t="s">
        <v>77</v>
      </c>
      <c r="B22" s="626"/>
      <c r="C22" s="627"/>
      <c r="D22" s="628"/>
      <c r="E22" s="688"/>
      <c r="F22" s="688"/>
      <c r="G22" s="688"/>
      <c r="H22" s="628"/>
      <c r="I22" s="630"/>
      <c r="J22" s="631"/>
      <c r="K22" s="730"/>
      <c r="L22" s="728"/>
      <c r="M22" s="753"/>
      <c r="N22" s="753"/>
      <c r="P22" s="755"/>
      <c r="R22" s="736"/>
    </row>
    <row r="23" spans="1:18" ht="18" customHeight="1">
      <c r="A23" s="632" t="s">
        <v>229</v>
      </c>
      <c r="B23" s="633"/>
      <c r="C23" s="616" t="s">
        <v>151</v>
      </c>
      <c r="D23" s="619">
        <v>685063</v>
      </c>
      <c r="E23" s="689">
        <v>10195</v>
      </c>
      <c r="F23" s="689">
        <v>68.8</v>
      </c>
      <c r="G23" s="689">
        <v>55.7</v>
      </c>
      <c r="H23" s="619">
        <f>D23/G23</f>
        <v>12299.156193895869</v>
      </c>
      <c r="I23" s="620" t="s">
        <v>185</v>
      </c>
      <c r="J23" s="621">
        <f>(G23*154)+6900+(10.4*E23)</f>
        <v>121505.8</v>
      </c>
      <c r="K23" s="729"/>
      <c r="L23" s="728"/>
      <c r="M23" s="756">
        <v>779527</v>
      </c>
      <c r="N23" s="756">
        <f>D23-M23</f>
        <v>-94464</v>
      </c>
      <c r="P23" s="758">
        <v>10195</v>
      </c>
      <c r="Q23" s="675">
        <f t="shared" si="0"/>
        <v>0</v>
      </c>
      <c r="R23" s="736"/>
    </row>
    <row r="24" spans="1:18" ht="18" customHeight="1" thickBot="1">
      <c r="A24" s="632">
        <v>52</v>
      </c>
      <c r="B24" s="633"/>
      <c r="C24" s="616" t="s">
        <v>244</v>
      </c>
      <c r="D24" s="636">
        <v>2519090</v>
      </c>
      <c r="E24" s="690">
        <v>2060</v>
      </c>
      <c r="F24" s="690">
        <v>130.69999999999999</v>
      </c>
      <c r="G24" s="690">
        <v>288.39999999999998</v>
      </c>
      <c r="H24" s="636">
        <f>D24/G24</f>
        <v>8734.708737864079</v>
      </c>
      <c r="I24" s="646" t="s">
        <v>185</v>
      </c>
      <c r="J24" s="640">
        <f>(G24*154)+6900+(10.4*E24)</f>
        <v>72737.600000000006</v>
      </c>
      <c r="K24" s="733"/>
      <c r="L24" s="728"/>
      <c r="M24" s="759">
        <v>2516404</v>
      </c>
      <c r="N24" s="759">
        <f>D24-M24</f>
        <v>2686</v>
      </c>
      <c r="P24" s="761">
        <v>2060</v>
      </c>
      <c r="Q24" s="675">
        <f t="shared" si="0"/>
        <v>0</v>
      </c>
      <c r="R24" s="736"/>
    </row>
    <row r="25" spans="1:18" ht="18" customHeight="1" thickTop="1">
      <c r="A25" s="632"/>
      <c r="B25" s="633"/>
      <c r="C25" s="649" t="s">
        <v>280</v>
      </c>
      <c r="D25" s="650">
        <f>SUM(D23:D24)</f>
        <v>3204153</v>
      </c>
      <c r="E25" s="693">
        <f>SUM(E23:E24)</f>
        <v>12255</v>
      </c>
      <c r="F25" s="693">
        <f>SUM(F23:F24)</f>
        <v>199.5</v>
      </c>
      <c r="G25" s="693">
        <f>SUM(G23:G24)</f>
        <v>344.09999999999997</v>
      </c>
      <c r="H25" s="650">
        <f>SUM(H23:H24)</f>
        <v>21033.864931759948</v>
      </c>
      <c r="I25" s="620" t="s">
        <v>185</v>
      </c>
      <c r="J25" s="652">
        <f>SUM(J23:J24)</f>
        <v>194243.40000000002</v>
      </c>
      <c r="K25" s="729"/>
      <c r="L25" s="728"/>
      <c r="M25" s="684">
        <f>SUM(M23:M24)</f>
        <v>3295931</v>
      </c>
      <c r="N25" s="756">
        <f>SUM(N23:N24)</f>
        <v>-91778</v>
      </c>
      <c r="P25" s="758">
        <f>SUM(P23:P24)</f>
        <v>12255</v>
      </c>
      <c r="R25" s="735"/>
    </row>
    <row r="26" spans="1:18" ht="18" customHeight="1">
      <c r="A26" s="625" t="s">
        <v>78</v>
      </c>
      <c r="B26" s="626"/>
      <c r="C26" s="627"/>
      <c r="D26" s="628"/>
      <c r="E26" s="688"/>
      <c r="F26" s="688"/>
      <c r="G26" s="688"/>
      <c r="H26" s="628"/>
      <c r="I26" s="630"/>
      <c r="J26" s="631"/>
      <c r="K26" s="730"/>
      <c r="L26" s="728"/>
      <c r="M26" s="753"/>
      <c r="N26" s="754"/>
      <c r="P26" s="755"/>
      <c r="R26" s="735"/>
    </row>
    <row r="27" spans="1:18" ht="18" customHeight="1">
      <c r="A27" s="632" t="s">
        <v>230</v>
      </c>
      <c r="B27" s="633"/>
      <c r="C27" s="616" t="s">
        <v>134</v>
      </c>
      <c r="D27" s="619">
        <v>0</v>
      </c>
      <c r="E27" s="689">
        <v>6385.6</v>
      </c>
      <c r="F27" s="689">
        <v>0</v>
      </c>
      <c r="G27" s="689">
        <v>0</v>
      </c>
      <c r="H27" s="619">
        <v>0</v>
      </c>
      <c r="I27" s="620" t="s">
        <v>185</v>
      </c>
      <c r="J27" s="621">
        <f>ROUNDUP((G27*154)+6900+10.4*E27,2)</f>
        <v>73310.240000000005</v>
      </c>
      <c r="K27" s="729"/>
      <c r="L27" s="728"/>
      <c r="M27" s="756">
        <v>0</v>
      </c>
      <c r="N27" s="757">
        <f>D27-M27</f>
        <v>0</v>
      </c>
      <c r="P27" s="758">
        <v>6385.6</v>
      </c>
      <c r="Q27" s="675">
        <f t="shared" si="0"/>
        <v>0</v>
      </c>
      <c r="R27" s="735"/>
    </row>
    <row r="28" spans="1:18" ht="18" customHeight="1" thickBot="1">
      <c r="A28" s="632" t="s">
        <v>231</v>
      </c>
      <c r="B28" s="633"/>
      <c r="C28" s="616" t="s">
        <v>178</v>
      </c>
      <c r="D28" s="636">
        <v>0</v>
      </c>
      <c r="E28" s="690">
        <v>2259</v>
      </c>
      <c r="F28" s="690">
        <v>0</v>
      </c>
      <c r="G28" s="690">
        <v>0</v>
      </c>
      <c r="H28" s="636">
        <v>0</v>
      </c>
      <c r="I28" s="646" t="s">
        <v>185</v>
      </c>
      <c r="J28" s="640">
        <f>(G28*154)+6900+10.4*E28</f>
        <v>30393.600000000002</v>
      </c>
      <c r="K28" s="733"/>
      <c r="L28" s="728"/>
      <c r="M28" s="759">
        <v>0</v>
      </c>
      <c r="N28" s="760">
        <f>D28-M28</f>
        <v>0</v>
      </c>
      <c r="P28" s="761">
        <v>2259</v>
      </c>
      <c r="Q28" s="675">
        <f t="shared" si="0"/>
        <v>0</v>
      </c>
    </row>
    <row r="29" spans="1:18" ht="18" customHeight="1" thickTop="1">
      <c r="A29" s="641"/>
      <c r="B29" s="622"/>
      <c r="C29" s="642" t="s">
        <v>281</v>
      </c>
      <c r="D29" s="643">
        <f>SUM(D27:D28)</f>
        <v>0</v>
      </c>
      <c r="E29" s="691">
        <f>SUM(E27:E28)</f>
        <v>8644.6</v>
      </c>
      <c r="F29" s="691">
        <f>SUM(F27:F28)</f>
        <v>0</v>
      </c>
      <c r="G29" s="691">
        <f>SUM(G27:G28)</f>
        <v>0</v>
      </c>
      <c r="H29" s="643">
        <v>0</v>
      </c>
      <c r="I29" s="645" t="s">
        <v>185</v>
      </c>
      <c r="J29" s="653">
        <f>SUM(J27:J28)</f>
        <v>103703.84000000001</v>
      </c>
      <c r="K29" s="732"/>
      <c r="L29" s="728"/>
      <c r="M29" s="762">
        <f>SUM(M27:M28)</f>
        <v>0</v>
      </c>
      <c r="N29" s="763">
        <f>D29-M29</f>
        <v>0</v>
      </c>
      <c r="P29" s="749">
        <f>SUM(P27:P28)</f>
        <v>8644.6</v>
      </c>
    </row>
    <row r="30" spans="1:18" ht="18" customHeight="1">
      <c r="A30" s="625" t="s">
        <v>219</v>
      </c>
      <c r="B30" s="626"/>
      <c r="C30" s="627"/>
      <c r="D30" s="628"/>
      <c r="E30" s="688"/>
      <c r="F30" s="688"/>
      <c r="G30" s="688"/>
      <c r="H30" s="628"/>
      <c r="I30" s="630"/>
      <c r="J30" s="631"/>
      <c r="K30" s="730"/>
      <c r="L30" s="728"/>
      <c r="M30" s="753"/>
      <c r="N30" s="754"/>
      <c r="P30" s="755"/>
    </row>
    <row r="31" spans="1:18" ht="18" customHeight="1">
      <c r="A31" s="632" t="s">
        <v>241</v>
      </c>
      <c r="B31" s="633"/>
      <c r="C31" s="616" t="s">
        <v>136</v>
      </c>
      <c r="D31" s="619">
        <v>969081</v>
      </c>
      <c r="E31" s="689">
        <v>6838</v>
      </c>
      <c r="F31" s="689">
        <v>0</v>
      </c>
      <c r="G31" s="689">
        <v>43.3</v>
      </c>
      <c r="H31" s="619">
        <f>D31/G31</f>
        <v>22380.623556581988</v>
      </c>
      <c r="I31" s="620" t="s">
        <v>185</v>
      </c>
      <c r="J31" s="621">
        <f>(G31*154)+6900+10.4*E31</f>
        <v>84683.4</v>
      </c>
      <c r="K31" s="729"/>
      <c r="L31" s="728"/>
      <c r="M31" s="756">
        <v>2619457</v>
      </c>
      <c r="N31" s="757">
        <f t="shared" ref="N31:N37" si="1">D31-M31</f>
        <v>-1650376</v>
      </c>
      <c r="P31" s="758">
        <v>6838</v>
      </c>
      <c r="Q31" s="675">
        <f t="shared" si="0"/>
        <v>0</v>
      </c>
    </row>
    <row r="32" spans="1:18" ht="18" customHeight="1">
      <c r="A32" s="632" t="s">
        <v>269</v>
      </c>
      <c r="B32" s="633"/>
      <c r="C32" s="616" t="s">
        <v>143</v>
      </c>
      <c r="D32" s="619">
        <v>5626489</v>
      </c>
      <c r="E32" s="689">
        <v>18762</v>
      </c>
      <c r="F32" s="689">
        <v>237</v>
      </c>
      <c r="G32" s="689">
        <v>416</v>
      </c>
      <c r="H32" s="619">
        <f>D32/G32</f>
        <v>13525.213942307691</v>
      </c>
      <c r="I32" s="620" t="s">
        <v>185</v>
      </c>
      <c r="J32" s="621">
        <f t="shared" ref="J32:J41" si="2">(G32*154)+6900+10.4*E32</f>
        <v>266088.80000000005</v>
      </c>
      <c r="K32" s="729"/>
      <c r="L32" s="728"/>
      <c r="M32" s="756">
        <v>5546567</v>
      </c>
      <c r="N32" s="757">
        <f t="shared" si="1"/>
        <v>79922</v>
      </c>
      <c r="P32" s="758">
        <v>18762</v>
      </c>
      <c r="Q32" s="675">
        <f t="shared" si="0"/>
        <v>0</v>
      </c>
    </row>
    <row r="33" spans="1:18" ht="18" customHeight="1">
      <c r="A33" s="632" t="s">
        <v>234</v>
      </c>
      <c r="B33" s="633"/>
      <c r="C33" s="616" t="s">
        <v>137</v>
      </c>
      <c r="D33" s="619">
        <v>3087308</v>
      </c>
      <c r="E33" s="689">
        <v>20502</v>
      </c>
      <c r="F33" s="689">
        <v>369.4</v>
      </c>
      <c r="G33" s="689">
        <v>366.1</v>
      </c>
      <c r="H33" s="619">
        <f>D33/G33</f>
        <v>8432.9636711281073</v>
      </c>
      <c r="I33" s="620" t="s">
        <v>185</v>
      </c>
      <c r="J33" s="621">
        <f t="shared" si="2"/>
        <v>276500.2</v>
      </c>
      <c r="K33" s="729"/>
      <c r="L33" s="728"/>
      <c r="M33" s="756">
        <v>2977555</v>
      </c>
      <c r="N33" s="757">
        <f t="shared" si="1"/>
        <v>109753</v>
      </c>
      <c r="P33" s="758">
        <v>20502</v>
      </c>
      <c r="Q33" s="675">
        <f t="shared" si="0"/>
        <v>0</v>
      </c>
    </row>
    <row r="34" spans="1:18" ht="18" customHeight="1">
      <c r="A34" s="632" t="s">
        <v>235</v>
      </c>
      <c r="B34" s="633"/>
      <c r="C34" s="616" t="s">
        <v>155</v>
      </c>
      <c r="D34" s="619">
        <v>1373844</v>
      </c>
      <c r="E34" s="689">
        <v>17697</v>
      </c>
      <c r="F34" s="689">
        <v>61.3</v>
      </c>
      <c r="G34" s="689">
        <v>91</v>
      </c>
      <c r="H34" s="619">
        <f>D34/G34</f>
        <v>15097.186813186812</v>
      </c>
      <c r="I34" s="620" t="s">
        <v>185</v>
      </c>
      <c r="J34" s="621">
        <f t="shared" si="2"/>
        <v>204962.80000000002</v>
      </c>
      <c r="K34" s="729"/>
      <c r="L34" s="728"/>
      <c r="M34" s="756">
        <v>748921</v>
      </c>
      <c r="N34" s="757">
        <f t="shared" si="1"/>
        <v>624923</v>
      </c>
      <c r="P34" s="758">
        <v>17697</v>
      </c>
      <c r="Q34" s="675">
        <f t="shared" si="0"/>
        <v>0</v>
      </c>
    </row>
    <row r="35" spans="1:18" ht="18" customHeight="1">
      <c r="A35" s="632" t="s">
        <v>271</v>
      </c>
      <c r="B35" s="633"/>
      <c r="C35" s="616" t="s">
        <v>239</v>
      </c>
      <c r="D35" s="619">
        <v>1338548</v>
      </c>
      <c r="E35" s="689">
        <v>3184.6</v>
      </c>
      <c r="F35" s="689">
        <v>227.7</v>
      </c>
      <c r="G35" s="689">
        <v>93.6</v>
      </c>
      <c r="H35" s="619">
        <f>D35/G35</f>
        <v>14300.726495726496</v>
      </c>
      <c r="I35" s="620" t="s">
        <v>185</v>
      </c>
      <c r="J35" s="621">
        <f t="shared" si="2"/>
        <v>54434.240000000005</v>
      </c>
      <c r="K35" s="729"/>
      <c r="L35" s="728"/>
      <c r="M35" s="756">
        <v>1811838</v>
      </c>
      <c r="N35" s="757">
        <f t="shared" si="1"/>
        <v>-473290</v>
      </c>
      <c r="P35" s="758">
        <v>3184.6</v>
      </c>
      <c r="Q35" s="675">
        <f t="shared" si="0"/>
        <v>0</v>
      </c>
    </row>
    <row r="36" spans="1:18" ht="18" customHeight="1">
      <c r="A36" s="632" t="s">
        <v>272</v>
      </c>
      <c r="B36" s="633"/>
      <c r="C36" s="616" t="s">
        <v>165</v>
      </c>
      <c r="D36" s="617">
        <v>7192404</v>
      </c>
      <c r="E36" s="687">
        <v>15314</v>
      </c>
      <c r="F36" s="687">
        <v>328</v>
      </c>
      <c r="G36" s="687">
        <v>220</v>
      </c>
      <c r="H36" s="635">
        <f t="shared" ref="H36:H42" si="3">D36/G36</f>
        <v>32692.745454545453</v>
      </c>
      <c r="I36" s="620" t="s">
        <v>185</v>
      </c>
      <c r="J36" s="621">
        <f t="shared" si="2"/>
        <v>200045.6</v>
      </c>
      <c r="K36" s="729"/>
      <c r="L36" s="728"/>
      <c r="M36" s="750">
        <v>5364236</v>
      </c>
      <c r="N36" s="751">
        <f>D36-M36</f>
        <v>1828168</v>
      </c>
      <c r="P36" s="752">
        <v>15314</v>
      </c>
      <c r="Q36" s="675">
        <f>E36-P36</f>
        <v>0</v>
      </c>
    </row>
    <row r="37" spans="1:18" ht="18" customHeight="1">
      <c r="A37" s="632" t="s">
        <v>273</v>
      </c>
      <c r="B37" s="633"/>
      <c r="C37" s="616" t="s">
        <v>274</v>
      </c>
      <c r="D37" s="619">
        <v>0</v>
      </c>
      <c r="E37" s="689">
        <v>404</v>
      </c>
      <c r="F37" s="689">
        <v>0</v>
      </c>
      <c r="G37" s="689">
        <v>0</v>
      </c>
      <c r="H37" s="635">
        <v>0</v>
      </c>
      <c r="I37" s="620" t="s">
        <v>185</v>
      </c>
      <c r="J37" s="621">
        <f t="shared" si="2"/>
        <v>11101.6</v>
      </c>
      <c r="K37" s="729"/>
      <c r="L37" s="728"/>
      <c r="M37" s="756">
        <v>0</v>
      </c>
      <c r="N37" s="757">
        <f t="shared" si="1"/>
        <v>0</v>
      </c>
      <c r="P37" s="758">
        <v>404</v>
      </c>
      <c r="Q37" s="675">
        <f t="shared" si="0"/>
        <v>0</v>
      </c>
    </row>
    <row r="38" spans="1:18" ht="18" customHeight="1">
      <c r="A38" s="632" t="s">
        <v>296</v>
      </c>
      <c r="B38" s="633"/>
      <c r="C38" s="616" t="s">
        <v>217</v>
      </c>
      <c r="D38" s="619">
        <v>8614847</v>
      </c>
      <c r="E38" s="689">
        <v>6033</v>
      </c>
      <c r="F38" s="689">
        <v>344.6</v>
      </c>
      <c r="G38" s="689">
        <v>614.5</v>
      </c>
      <c r="H38" s="635">
        <f t="shared" si="3"/>
        <v>14019.279088689991</v>
      </c>
      <c r="I38" s="620" t="s">
        <v>185</v>
      </c>
      <c r="J38" s="621">
        <f t="shared" si="2"/>
        <v>164276.20000000001</v>
      </c>
      <c r="K38" s="729"/>
      <c r="L38" s="728"/>
      <c r="M38" s="756">
        <v>6183327</v>
      </c>
      <c r="N38" s="757">
        <f>D38-M38</f>
        <v>2431520</v>
      </c>
      <c r="P38" s="758">
        <v>6033</v>
      </c>
      <c r="Q38" s="675">
        <f t="shared" si="0"/>
        <v>0</v>
      </c>
    </row>
    <row r="39" spans="1:18" ht="18" customHeight="1">
      <c r="A39" s="632">
        <v>51</v>
      </c>
      <c r="B39" s="633"/>
      <c r="C39" s="616" t="s">
        <v>242</v>
      </c>
      <c r="D39" s="619">
        <v>0</v>
      </c>
      <c r="E39" s="689">
        <v>4314</v>
      </c>
      <c r="F39" s="689">
        <v>3</v>
      </c>
      <c r="G39" s="689">
        <v>0</v>
      </c>
      <c r="H39" s="635">
        <v>0</v>
      </c>
      <c r="I39" s="620" t="s">
        <v>185</v>
      </c>
      <c r="J39" s="621">
        <f t="shared" si="2"/>
        <v>51765.599999999999</v>
      </c>
      <c r="K39" s="729"/>
      <c r="L39" s="728"/>
      <c r="M39" s="756">
        <v>0</v>
      </c>
      <c r="N39" s="757">
        <f>D39-M39</f>
        <v>0</v>
      </c>
      <c r="P39" s="758">
        <v>4314</v>
      </c>
      <c r="Q39" s="675">
        <f t="shared" si="0"/>
        <v>0</v>
      </c>
    </row>
    <row r="40" spans="1:18" ht="18" customHeight="1">
      <c r="A40" s="632">
        <v>53</v>
      </c>
      <c r="B40" s="633"/>
      <c r="C40" s="616" t="s">
        <v>250</v>
      </c>
      <c r="D40" s="619">
        <v>1353006</v>
      </c>
      <c r="E40" s="689">
        <v>2308</v>
      </c>
      <c r="F40" s="689">
        <v>184</v>
      </c>
      <c r="G40" s="689">
        <v>212</v>
      </c>
      <c r="H40" s="635">
        <f t="shared" si="3"/>
        <v>6382.1037735849059</v>
      </c>
      <c r="I40" s="620" t="s">
        <v>185</v>
      </c>
      <c r="J40" s="621">
        <f t="shared" si="2"/>
        <v>63551.199999999997</v>
      </c>
      <c r="K40" s="729"/>
      <c r="L40" s="728"/>
      <c r="M40" s="756">
        <v>2252130</v>
      </c>
      <c r="N40" s="764">
        <f>D40-M40</f>
        <v>-899124</v>
      </c>
      <c r="P40" s="758">
        <v>2308</v>
      </c>
      <c r="Q40" s="675">
        <f t="shared" si="0"/>
        <v>0</v>
      </c>
    </row>
    <row r="41" spans="1:18" ht="18" customHeight="1" thickBot="1">
      <c r="A41" s="632">
        <v>54</v>
      </c>
      <c r="B41" s="633"/>
      <c r="C41" s="616" t="s">
        <v>275</v>
      </c>
      <c r="D41" s="619">
        <v>2765429</v>
      </c>
      <c r="E41" s="689">
        <v>2198</v>
      </c>
      <c r="F41" s="689">
        <v>380.5</v>
      </c>
      <c r="G41" s="690">
        <v>190.2</v>
      </c>
      <c r="H41" s="655">
        <f t="shared" si="3"/>
        <v>14539.584647739222</v>
      </c>
      <c r="I41" s="656" t="s">
        <v>185</v>
      </c>
      <c r="J41" s="640">
        <f t="shared" si="2"/>
        <v>59050</v>
      </c>
      <c r="K41" s="733"/>
      <c r="L41" s="728"/>
      <c r="M41" s="756">
        <v>0</v>
      </c>
      <c r="N41" s="757">
        <f>D41-M41</f>
        <v>2765429</v>
      </c>
      <c r="P41" s="761">
        <v>2198</v>
      </c>
      <c r="Q41" s="675">
        <f t="shared" si="0"/>
        <v>0</v>
      </c>
    </row>
    <row r="42" spans="1:18" ht="18" customHeight="1" thickTop="1">
      <c r="A42" s="641"/>
      <c r="B42" s="622"/>
      <c r="C42" s="642" t="s">
        <v>282</v>
      </c>
      <c r="D42" s="657">
        <f>SUM(D31:D41)</f>
        <v>32320956</v>
      </c>
      <c r="E42" s="694">
        <f>SUM(E31:E41)</f>
        <v>97554.6</v>
      </c>
      <c r="F42" s="694">
        <f>SUM(F31:F41)</f>
        <v>2135.5</v>
      </c>
      <c r="G42" s="691">
        <f>SUM(G31:G41)</f>
        <v>2246.6999999999998</v>
      </c>
      <c r="H42" s="643">
        <f t="shared" si="3"/>
        <v>14385.968754172787</v>
      </c>
      <c r="I42" s="645" t="s">
        <v>185</v>
      </c>
      <c r="J42" s="613">
        <f>SUM(J31:J41)</f>
        <v>1436459.6400000004</v>
      </c>
      <c r="K42" s="732"/>
      <c r="L42" s="728"/>
      <c r="M42" s="765">
        <f>SUM(M31:M41)</f>
        <v>27504031</v>
      </c>
      <c r="N42" s="766">
        <f>D42-M42</f>
        <v>4816925</v>
      </c>
      <c r="P42" s="767">
        <f>SUM(P31:P41)</f>
        <v>97554.6</v>
      </c>
    </row>
    <row r="43" spans="1:18" ht="18" customHeight="1">
      <c r="A43" s="625" t="s">
        <v>86</v>
      </c>
      <c r="B43" s="626"/>
      <c r="C43" s="627"/>
      <c r="D43" s="619"/>
      <c r="E43" s="689"/>
      <c r="F43" s="689"/>
      <c r="G43" s="688"/>
      <c r="H43" s="628"/>
      <c r="I43" s="630"/>
      <c r="J43" s="631"/>
      <c r="K43" s="730"/>
      <c r="L43" s="728"/>
      <c r="M43" s="756"/>
      <c r="N43" s="757"/>
      <c r="P43" s="755"/>
    </row>
    <row r="44" spans="1:18" ht="18" customHeight="1" thickBot="1">
      <c r="A44" s="659" t="s">
        <v>252</v>
      </c>
      <c r="B44" s="660"/>
      <c r="C44" s="661" t="s">
        <v>139</v>
      </c>
      <c r="D44" s="636">
        <v>1826445</v>
      </c>
      <c r="E44" s="690">
        <v>6274</v>
      </c>
      <c r="F44" s="690">
        <v>343</v>
      </c>
      <c r="G44" s="690">
        <v>104</v>
      </c>
      <c r="H44" s="636">
        <f>D44/G44</f>
        <v>17561.971153846152</v>
      </c>
      <c r="I44" s="646" t="s">
        <v>185</v>
      </c>
      <c r="J44" s="662">
        <f>(G44*154)+6900+10.4*E44</f>
        <v>88165.6</v>
      </c>
      <c r="K44" s="733"/>
      <c r="L44" s="728"/>
      <c r="M44" s="759">
        <v>1869981</v>
      </c>
      <c r="N44" s="760">
        <f>D44-M44</f>
        <v>-43536</v>
      </c>
      <c r="P44" s="761">
        <v>6274</v>
      </c>
      <c r="Q44" s="675">
        <f t="shared" si="0"/>
        <v>0</v>
      </c>
      <c r="R44" s="736"/>
    </row>
    <row r="45" spans="1:18" ht="27.75" customHeight="1" thickTop="1" thickBot="1">
      <c r="A45" s="2027" t="s">
        <v>44</v>
      </c>
      <c r="B45" s="2028"/>
      <c r="C45" s="2029"/>
      <c r="D45" s="663">
        <f>SUM(D4,D6,D11,D13,D17,D21,D25,D29,D42,D44)</f>
        <v>45587404</v>
      </c>
      <c r="E45" s="695">
        <f>SUM(E4,E6,E11,E13,E17,E21,E25,E29,E42,E44)</f>
        <v>184624.90000000002</v>
      </c>
      <c r="F45" s="695">
        <f>SUM(F4,F6,F11,F13,F17,F21,F25,F29,F42,F44)</f>
        <v>3579.8</v>
      </c>
      <c r="G45" s="695">
        <f>SUM(G4,G6,G11,G13,G17,G21,G25,G29,G42,G44)</f>
        <v>3240.7999999999997</v>
      </c>
      <c r="H45" s="663">
        <f>D45/G45</f>
        <v>14066.713157245125</v>
      </c>
      <c r="I45" s="665" t="s">
        <v>185</v>
      </c>
      <c r="J45" s="666">
        <f>SUM(J4,J6,J11,J13,J17,J21,J25,J29,J42,J44)</f>
        <v>2598581.7600000002</v>
      </c>
      <c r="K45" s="737"/>
      <c r="M45" s="768">
        <f>SUM(M4,M6,M11,M13,M17,M19,M25,M29,M42,M44)</f>
        <v>41419857</v>
      </c>
      <c r="N45" s="769">
        <f>D45-M45</f>
        <v>4167547</v>
      </c>
      <c r="O45" s="770">
        <f>N45/M45</f>
        <v>0.10061712670809075</v>
      </c>
      <c r="P45" s="771">
        <f>SUM(P4,P6,P11,P13,P17,P21,P25,P29,P42,P44)</f>
        <v>184624.90000000002</v>
      </c>
      <c r="Q45" s="675">
        <f t="shared" si="0"/>
        <v>0</v>
      </c>
      <c r="R45" s="672">
        <f>Q45/P45</f>
        <v>0</v>
      </c>
    </row>
    <row r="46" spans="1:18" ht="18" customHeight="1">
      <c r="G46" s="738"/>
      <c r="H46" s="739"/>
      <c r="I46" s="740"/>
      <c r="K46" s="740"/>
      <c r="O46" s="742"/>
      <c r="P46" s="773"/>
    </row>
    <row r="47" spans="1:18" ht="18" customHeight="1">
      <c r="N47" s="774"/>
    </row>
    <row r="48" spans="1:18" ht="18" customHeight="1">
      <c r="F48" s="696" t="s">
        <v>297</v>
      </c>
      <c r="G48" s="697">
        <f>G45-'SUM2010'!G43</f>
        <v>204.49999999999955</v>
      </c>
      <c r="J48" s="741">
        <f>(26*6900)+(E45*10.4)+(G45*154)</f>
        <v>2598582.16</v>
      </c>
      <c r="N48" s="776"/>
    </row>
    <row r="49" spans="6:14" ht="18" customHeight="1">
      <c r="F49" s="696" t="s">
        <v>298</v>
      </c>
      <c r="G49" s="723">
        <f>G48/'SUM2010'!G43</f>
        <v>6.7351710964002082E-2</v>
      </c>
      <c r="J49" s="741">
        <f>J48-J45</f>
        <v>0.39999999990686774</v>
      </c>
      <c r="K49" s="678" t="s">
        <v>283</v>
      </c>
    </row>
    <row r="51" spans="6:14" ht="18" customHeight="1">
      <c r="M51" s="772">
        <f>M17+M32+M34+M35+M33+M40</f>
        <v>17517934</v>
      </c>
      <c r="N51" s="777" t="s">
        <v>284</v>
      </c>
    </row>
  </sheetData>
  <mergeCells count="16">
    <mergeCell ref="A45:C45"/>
    <mergeCell ref="J1:J2"/>
    <mergeCell ref="K1:K2"/>
    <mergeCell ref="M1:M2"/>
    <mergeCell ref="F1:F2"/>
    <mergeCell ref="G1:G2"/>
    <mergeCell ref="I1:I2"/>
    <mergeCell ref="C1:C2"/>
    <mergeCell ref="D1:D2"/>
    <mergeCell ref="E1:E2"/>
    <mergeCell ref="O1:O2"/>
    <mergeCell ref="A1:B2"/>
    <mergeCell ref="P1:P2"/>
    <mergeCell ref="Q1:Q2"/>
    <mergeCell ref="N1:N2"/>
    <mergeCell ref="H1:H2"/>
  </mergeCells>
  <phoneticPr fontId="0" type="noConversion"/>
  <pageMargins left="0.75" right="0.75" top="1" bottom="1" header="0.5" footer="0.5"/>
  <pageSetup scale="59" orientation="portrait" r:id="rId1"/>
  <headerFooter alignWithMargins="0">
    <oddHeader>&amp;C&amp;"Arial,Bold"&amp;14Summary of 2011 Annual Coal Production Reports and Fee Payments</oddHeader>
    <oddFooter>&amp;L&amp;D</oddFooter>
  </headerFooter>
  <ignoredErrors>
    <ignoredError sqref="H45 D45:G45 J4:J45 H11:H44 D11:G42 M4:M29 N23:N25 M42:M45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R49"/>
  <sheetViews>
    <sheetView zoomScale="70" workbookViewId="0">
      <pane xSplit="3" ySplit="2" topLeftCell="D3" activePane="bottomRight" state="frozen"/>
      <selection activeCell="E51" sqref="E51"/>
      <selection pane="topRight" activeCell="E51" sqref="E51"/>
      <selection pane="bottomLeft" activeCell="E51" sqref="E51"/>
      <selection pane="bottomRight" activeCell="E51" sqref="E51"/>
    </sheetView>
  </sheetViews>
  <sheetFormatPr defaultColWidth="9.140625" defaultRowHeight="18" customHeight="1"/>
  <cols>
    <col min="1" max="1" width="11.28515625" style="178" customWidth="1"/>
    <col min="2" max="2" width="2.42578125" style="178" customWidth="1"/>
    <col min="3" max="3" width="31.5703125" style="178" customWidth="1"/>
    <col min="4" max="4" width="18.42578125" style="402" customWidth="1"/>
    <col min="5" max="5" width="16.140625" style="389" customWidth="1"/>
    <col min="6" max="6" width="15.7109375" style="389" customWidth="1"/>
    <col min="7" max="7" width="16.140625" style="389" customWidth="1"/>
    <col min="8" max="8" width="16.140625" style="402" customWidth="1"/>
    <col min="9" max="9" width="3.140625" style="418" customWidth="1"/>
    <col min="10" max="10" width="16.5703125" style="491" customWidth="1"/>
    <col min="11" max="11" width="3.140625" style="418" customWidth="1"/>
    <col min="12" max="12" width="5.85546875" style="178" customWidth="1"/>
    <col min="13" max="13" width="19.7109375" style="402" customWidth="1"/>
    <col min="14" max="14" width="18" style="337" customWidth="1"/>
    <col min="15" max="15" width="9.85546875" style="337" customWidth="1"/>
    <col min="16" max="16" width="17.7109375" style="579" customWidth="1"/>
    <col min="17" max="17" width="10.42578125" style="580" bestFit="1" customWidth="1"/>
    <col min="18" max="18" width="9.5703125" style="337" customWidth="1"/>
    <col min="19" max="16384" width="9.140625" style="337"/>
  </cols>
  <sheetData>
    <row r="1" spans="1:17" s="482" customFormat="1" ht="18" customHeight="1">
      <c r="A1" s="2056" t="s">
        <v>6</v>
      </c>
      <c r="B1" s="598"/>
      <c r="C1" s="2041" t="s">
        <v>162</v>
      </c>
      <c r="D1" s="2025" t="s">
        <v>277</v>
      </c>
      <c r="E1" s="2051" t="s">
        <v>289</v>
      </c>
      <c r="F1" s="2051" t="s">
        <v>187</v>
      </c>
      <c r="G1" s="2051" t="s">
        <v>288</v>
      </c>
      <c r="H1" s="2025" t="s">
        <v>238</v>
      </c>
      <c r="I1" s="2039" t="s">
        <v>184</v>
      </c>
      <c r="J1" s="2030" t="s">
        <v>164</v>
      </c>
      <c r="K1" s="2045" t="s">
        <v>184</v>
      </c>
      <c r="L1" s="488"/>
      <c r="M1" s="2047" t="s">
        <v>248</v>
      </c>
      <c r="N1" s="2049" t="s">
        <v>208</v>
      </c>
      <c r="P1" s="2058" t="s">
        <v>276</v>
      </c>
      <c r="Q1" s="2044"/>
    </row>
    <row r="2" spans="1:17" s="482" customFormat="1" ht="42" customHeight="1" thickBot="1">
      <c r="A2" s="2057"/>
      <c r="B2" s="599"/>
      <c r="C2" s="2042"/>
      <c r="D2" s="2043"/>
      <c r="E2" s="2052"/>
      <c r="F2" s="2052"/>
      <c r="G2" s="2053"/>
      <c r="H2" s="2054"/>
      <c r="I2" s="2055"/>
      <c r="J2" s="2031"/>
      <c r="K2" s="2046"/>
      <c r="L2" s="488"/>
      <c r="M2" s="2048"/>
      <c r="N2" s="2050"/>
      <c r="P2" s="2059"/>
      <c r="Q2" s="2044"/>
    </row>
    <row r="3" spans="1:17" ht="18" customHeight="1">
      <c r="A3" s="600" t="s">
        <v>110</v>
      </c>
      <c r="B3" s="601"/>
      <c r="C3" s="602"/>
      <c r="D3" s="603"/>
      <c r="E3" s="604"/>
      <c r="F3" s="604"/>
      <c r="G3" s="604"/>
      <c r="H3" s="603"/>
      <c r="I3" s="605"/>
      <c r="J3" s="606"/>
      <c r="K3" s="502"/>
      <c r="L3" s="489"/>
      <c r="M3" s="498"/>
      <c r="N3" s="397"/>
      <c r="P3" s="570"/>
    </row>
    <row r="4" spans="1:17" ht="18" customHeight="1">
      <c r="A4" s="607" t="s">
        <v>249</v>
      </c>
      <c r="B4" s="608"/>
      <c r="C4" s="609" t="s">
        <v>125</v>
      </c>
      <c r="D4" s="610">
        <v>0</v>
      </c>
      <c r="E4" s="611">
        <v>16317.5</v>
      </c>
      <c r="F4" s="611">
        <v>0</v>
      </c>
      <c r="G4" s="611">
        <v>0</v>
      </c>
      <c r="H4" s="610">
        <v>0</v>
      </c>
      <c r="I4" s="612" t="s">
        <v>185</v>
      </c>
      <c r="J4" s="613">
        <f>(G4*130)+4250+(5.5*E4)</f>
        <v>93996.25</v>
      </c>
      <c r="K4" s="531"/>
      <c r="L4" s="490"/>
      <c r="M4" s="526">
        <f>'SUM2009'!D4</f>
        <v>0</v>
      </c>
      <c r="N4" s="364">
        <f>D4-M4</f>
        <v>0</v>
      </c>
      <c r="P4" s="574">
        <v>16317.5</v>
      </c>
      <c r="Q4" s="580">
        <f>E4-P4</f>
        <v>0</v>
      </c>
    </row>
    <row r="5" spans="1:17" ht="18" customHeight="1">
      <c r="A5" s="614" t="s">
        <v>246</v>
      </c>
      <c r="B5" s="615"/>
      <c r="C5" s="616"/>
      <c r="D5" s="617"/>
      <c r="E5" s="618"/>
      <c r="F5" s="618"/>
      <c r="G5" s="618"/>
      <c r="H5" s="619"/>
      <c r="I5" s="620"/>
      <c r="J5" s="621"/>
      <c r="K5" s="510"/>
      <c r="L5" s="490"/>
      <c r="M5" s="511"/>
      <c r="N5" s="437"/>
      <c r="P5" s="572"/>
    </row>
    <row r="6" spans="1:17" ht="18" customHeight="1">
      <c r="A6" s="607" t="s">
        <v>240</v>
      </c>
      <c r="B6" s="622"/>
      <c r="C6" s="609" t="s">
        <v>144</v>
      </c>
      <c r="D6" s="610">
        <v>0</v>
      </c>
      <c r="E6" s="611">
        <v>803</v>
      </c>
      <c r="F6" s="611">
        <v>0</v>
      </c>
      <c r="G6" s="611">
        <v>0</v>
      </c>
      <c r="H6" s="623">
        <v>0</v>
      </c>
      <c r="I6" s="612" t="s">
        <v>185</v>
      </c>
      <c r="J6" s="624">
        <f>(G6*130)+4250+5.5*E6</f>
        <v>8666.5</v>
      </c>
      <c r="K6" s="531"/>
      <c r="L6" s="490"/>
      <c r="M6" s="526">
        <f>'SUM2009'!D8</f>
        <v>0</v>
      </c>
      <c r="N6" s="364">
        <f>D6-M6</f>
        <v>0</v>
      </c>
      <c r="P6" s="574">
        <v>803</v>
      </c>
      <c r="Q6" s="580">
        <f>E6-P6</f>
        <v>0</v>
      </c>
    </row>
    <row r="7" spans="1:17" ht="18" customHeight="1">
      <c r="A7" s="625" t="s">
        <v>147</v>
      </c>
      <c r="B7" s="626"/>
      <c r="C7" s="627"/>
      <c r="D7" s="628"/>
      <c r="E7" s="629"/>
      <c r="F7" s="629"/>
      <c r="G7" s="629"/>
      <c r="H7" s="628"/>
      <c r="I7" s="630"/>
      <c r="J7" s="631"/>
      <c r="K7" s="539"/>
      <c r="L7" s="490"/>
      <c r="M7" s="535"/>
      <c r="N7" s="398"/>
      <c r="P7" s="575"/>
    </row>
    <row r="8" spans="1:17" ht="18" customHeight="1">
      <c r="A8" s="632" t="s">
        <v>223</v>
      </c>
      <c r="B8" s="633"/>
      <c r="C8" s="616" t="s">
        <v>127</v>
      </c>
      <c r="D8" s="619">
        <v>0</v>
      </c>
      <c r="E8" s="634">
        <v>2785</v>
      </c>
      <c r="F8" s="634">
        <v>0</v>
      </c>
      <c r="G8" s="634">
        <v>0</v>
      </c>
      <c r="H8" s="635">
        <v>0</v>
      </c>
      <c r="I8" s="620" t="s">
        <v>185</v>
      </c>
      <c r="J8" s="621">
        <f>(G8*130)+4250+(5.5*E8)</f>
        <v>19567.5</v>
      </c>
      <c r="K8" s="510"/>
      <c r="L8" s="490"/>
      <c r="M8" s="506">
        <f>'SUM2009'!D10</f>
        <v>0</v>
      </c>
      <c r="N8" s="360">
        <f>D8-M8</f>
        <v>0</v>
      </c>
      <c r="P8" s="571">
        <v>2785</v>
      </c>
      <c r="Q8" s="580">
        <f>E8-P8</f>
        <v>0</v>
      </c>
    </row>
    <row r="9" spans="1:17" ht="18" customHeight="1">
      <c r="A9" s="632" t="s">
        <v>224</v>
      </c>
      <c r="B9" s="633"/>
      <c r="C9" s="616" t="s">
        <v>128</v>
      </c>
      <c r="D9" s="619">
        <v>0</v>
      </c>
      <c r="E9" s="634">
        <v>682.8</v>
      </c>
      <c r="F9" s="634">
        <v>0</v>
      </c>
      <c r="G9" s="634">
        <v>0</v>
      </c>
      <c r="H9" s="619">
        <v>0</v>
      </c>
      <c r="I9" s="620" t="s">
        <v>185</v>
      </c>
      <c r="J9" s="621">
        <f>(G9*130)+4250+(5.5*E9)</f>
        <v>8005.4</v>
      </c>
      <c r="K9" s="510"/>
      <c r="L9" s="490"/>
      <c r="M9" s="506">
        <f>'SUM2009'!D11</f>
        <v>0</v>
      </c>
      <c r="N9" s="360">
        <f>D9-M9</f>
        <v>0</v>
      </c>
      <c r="P9" s="571">
        <v>682.8</v>
      </c>
      <c r="Q9" s="580">
        <f>E9-P9</f>
        <v>0</v>
      </c>
    </row>
    <row r="10" spans="1:17" ht="18" customHeight="1" thickBot="1">
      <c r="A10" s="632" t="s">
        <v>270</v>
      </c>
      <c r="B10" s="633"/>
      <c r="C10" s="616" t="s">
        <v>177</v>
      </c>
      <c r="D10" s="636">
        <v>0</v>
      </c>
      <c r="E10" s="637">
        <v>536.20000000000005</v>
      </c>
      <c r="F10" s="637">
        <v>0</v>
      </c>
      <c r="G10" s="637">
        <v>0</v>
      </c>
      <c r="H10" s="638">
        <v>0</v>
      </c>
      <c r="I10" s="639" t="s">
        <v>185</v>
      </c>
      <c r="J10" s="640">
        <f>(G10*130)+4250+(5.5*E10)</f>
        <v>7199.1</v>
      </c>
      <c r="K10" s="545"/>
      <c r="L10" s="490"/>
      <c r="M10" s="540">
        <f>'SUM2009'!D12</f>
        <v>0</v>
      </c>
      <c r="N10" s="361">
        <f>D10-M10</f>
        <v>0</v>
      </c>
      <c r="P10" s="576">
        <v>536.20000000000005</v>
      </c>
      <c r="Q10" s="580">
        <f>E10-P10</f>
        <v>0</v>
      </c>
    </row>
    <row r="11" spans="1:17" ht="18" customHeight="1" thickTop="1">
      <c r="A11" s="641"/>
      <c r="B11" s="622"/>
      <c r="C11" s="642" t="s">
        <v>278</v>
      </c>
      <c r="D11" s="643">
        <f>SUM(D8:D10)</f>
        <v>0</v>
      </c>
      <c r="E11" s="644">
        <f>SUM(E8:E10)</f>
        <v>4004</v>
      </c>
      <c r="F11" s="644">
        <f>SUM(F8:F10)</f>
        <v>0</v>
      </c>
      <c r="G11" s="644">
        <f>SUM(G8:G10)</f>
        <v>0</v>
      </c>
      <c r="H11" s="643">
        <f>SUM(H8:H10)</f>
        <v>0</v>
      </c>
      <c r="I11" s="645" t="s">
        <v>185</v>
      </c>
      <c r="J11" s="613">
        <f>SUM(J8:J10)</f>
        <v>34772</v>
      </c>
      <c r="K11" s="550"/>
      <c r="L11" s="490"/>
      <c r="M11" s="546">
        <f>SUM(M8:M10)</f>
        <v>0</v>
      </c>
      <c r="N11" s="388">
        <f>D11-M11</f>
        <v>0</v>
      </c>
      <c r="P11" s="574">
        <f>SUM(P8:P10)</f>
        <v>4004</v>
      </c>
    </row>
    <row r="12" spans="1:17" ht="18" customHeight="1">
      <c r="A12" s="625" t="s">
        <v>72</v>
      </c>
      <c r="B12" s="626"/>
      <c r="C12" s="627"/>
      <c r="D12" s="628"/>
      <c r="E12" s="629"/>
      <c r="F12" s="629"/>
      <c r="G12" s="629"/>
      <c r="H12" s="628"/>
      <c r="I12" s="630"/>
      <c r="J12" s="631"/>
      <c r="K12" s="539"/>
      <c r="L12" s="490"/>
      <c r="M12" s="535"/>
      <c r="N12" s="398"/>
      <c r="P12" s="575"/>
    </row>
    <row r="13" spans="1:17" ht="18" customHeight="1">
      <c r="A13" s="607" t="s">
        <v>226</v>
      </c>
      <c r="B13" s="608"/>
      <c r="C13" s="609" t="s">
        <v>131</v>
      </c>
      <c r="D13" s="610">
        <v>0</v>
      </c>
      <c r="E13" s="611">
        <v>437</v>
      </c>
      <c r="F13" s="611">
        <v>0</v>
      </c>
      <c r="G13" s="611">
        <v>0</v>
      </c>
      <c r="H13" s="623">
        <v>0</v>
      </c>
      <c r="I13" s="612" t="s">
        <v>185</v>
      </c>
      <c r="J13" s="624">
        <f>(G13*130)+4250+5.5*E13</f>
        <v>6653.5</v>
      </c>
      <c r="K13" s="531"/>
      <c r="L13" s="490"/>
      <c r="M13" s="526">
        <f>'SUM2009'!D15</f>
        <v>0</v>
      </c>
      <c r="N13" s="364">
        <f>D13-M13</f>
        <v>0</v>
      </c>
      <c r="P13" s="574">
        <v>437</v>
      </c>
      <c r="Q13" s="580">
        <f t="shared" ref="Q13:Q43" si="0">E13-P13</f>
        <v>0</v>
      </c>
    </row>
    <row r="14" spans="1:17" ht="18" customHeight="1">
      <c r="A14" s="625" t="s">
        <v>180</v>
      </c>
      <c r="B14" s="626"/>
      <c r="C14" s="627"/>
      <c r="D14" s="628"/>
      <c r="E14" s="629"/>
      <c r="F14" s="629"/>
      <c r="G14" s="629"/>
      <c r="H14" s="628"/>
      <c r="I14" s="630"/>
      <c r="J14" s="631"/>
      <c r="K14" s="539"/>
      <c r="L14" s="490"/>
      <c r="M14" s="535"/>
      <c r="N14" s="398"/>
      <c r="P14" s="575"/>
    </row>
    <row r="15" spans="1:17" ht="18" customHeight="1">
      <c r="A15" s="632" t="s">
        <v>227</v>
      </c>
      <c r="B15" s="633"/>
      <c r="C15" s="616" t="s">
        <v>132</v>
      </c>
      <c r="D15" s="619">
        <v>848262</v>
      </c>
      <c r="E15" s="634">
        <v>16237.5</v>
      </c>
      <c r="F15" s="634">
        <v>50.1</v>
      </c>
      <c r="G15" s="634">
        <v>55.4</v>
      </c>
      <c r="H15" s="619">
        <f>D15/G15</f>
        <v>15311.58844765343</v>
      </c>
      <c r="I15" s="620" t="s">
        <v>185</v>
      </c>
      <c r="J15" s="621">
        <f>(G15*130)+4250+5.5*E15</f>
        <v>100758.25</v>
      </c>
      <c r="K15" s="510"/>
      <c r="L15" s="490"/>
      <c r="M15" s="506">
        <f>'SUM2009'!D17</f>
        <v>697236</v>
      </c>
      <c r="N15" s="360">
        <f>D15-M15</f>
        <v>151026</v>
      </c>
      <c r="P15" s="571">
        <v>16237.5</v>
      </c>
      <c r="Q15" s="580">
        <f t="shared" si="0"/>
        <v>0</v>
      </c>
    </row>
    <row r="16" spans="1:17" ht="18" customHeight="1" thickBot="1">
      <c r="A16" s="632" t="s">
        <v>253</v>
      </c>
      <c r="B16" s="633"/>
      <c r="C16" s="616" t="s">
        <v>157</v>
      </c>
      <c r="D16" s="636">
        <v>3332661</v>
      </c>
      <c r="E16" s="637">
        <v>4361.7</v>
      </c>
      <c r="F16" s="637">
        <v>134.9</v>
      </c>
      <c r="G16" s="637">
        <v>195.2</v>
      </c>
      <c r="H16" s="636">
        <f>D16/G16</f>
        <v>17073.058401639344</v>
      </c>
      <c r="I16" s="646" t="s">
        <v>185</v>
      </c>
      <c r="J16" s="640">
        <f>ROUNDUP((G16*130)+4250+5.5*E16,2)</f>
        <v>53615.35</v>
      </c>
      <c r="K16" s="554"/>
      <c r="L16" s="490"/>
      <c r="M16" s="540">
        <f>'SUM2009'!D18</f>
        <v>4392099</v>
      </c>
      <c r="N16" s="361">
        <f>D16-M16</f>
        <v>-1059438</v>
      </c>
      <c r="P16" s="576">
        <v>4361.7</v>
      </c>
      <c r="Q16" s="580">
        <f t="shared" si="0"/>
        <v>0</v>
      </c>
    </row>
    <row r="17" spans="1:18" ht="18" customHeight="1" thickTop="1">
      <c r="A17" s="641"/>
      <c r="B17" s="622"/>
      <c r="C17" s="642" t="s">
        <v>279</v>
      </c>
      <c r="D17" s="643">
        <f>SUM(D15:D16)</f>
        <v>4180923</v>
      </c>
      <c r="E17" s="644">
        <f>SUM(E15:E16)</f>
        <v>20599.2</v>
      </c>
      <c r="F17" s="644">
        <f>SUM(F15:F16)</f>
        <v>185</v>
      </c>
      <c r="G17" s="644">
        <f>SUM(G15:G16)</f>
        <v>250.6</v>
      </c>
      <c r="H17" s="643">
        <f>D17/G17</f>
        <v>16683.651237031125</v>
      </c>
      <c r="I17" s="647" t="s">
        <v>185</v>
      </c>
      <c r="J17" s="648">
        <f>ROUNDUP(SUM(J15:J16),2)</f>
        <v>154373.6</v>
      </c>
      <c r="K17" s="557"/>
      <c r="L17" s="490"/>
      <c r="M17" s="546">
        <f>SUM(M15:M16)</f>
        <v>5089335</v>
      </c>
      <c r="N17" s="388">
        <f>D17-M17</f>
        <v>-908412</v>
      </c>
      <c r="P17" s="574">
        <f>SUM(P15:P16)</f>
        <v>20599.2</v>
      </c>
    </row>
    <row r="18" spans="1:18" ht="18" customHeight="1">
      <c r="A18" s="625" t="s">
        <v>75</v>
      </c>
      <c r="B18" s="626"/>
      <c r="C18" s="627"/>
      <c r="D18" s="628"/>
      <c r="E18" s="629"/>
      <c r="F18" s="629"/>
      <c r="G18" s="629"/>
      <c r="H18" s="628"/>
      <c r="I18" s="630"/>
      <c r="J18" s="631"/>
      <c r="K18" s="539"/>
      <c r="L18" s="490"/>
      <c r="M18" s="535"/>
      <c r="N18" s="398"/>
      <c r="P18" s="575"/>
      <c r="R18" s="582"/>
    </row>
    <row r="19" spans="1:18" ht="18" customHeight="1">
      <c r="A19" s="607" t="s">
        <v>228</v>
      </c>
      <c r="B19" s="608"/>
      <c r="C19" s="609" t="s">
        <v>216</v>
      </c>
      <c r="D19" s="610">
        <v>4568991</v>
      </c>
      <c r="E19" s="611">
        <v>17278.3</v>
      </c>
      <c r="F19" s="611">
        <v>186.9</v>
      </c>
      <c r="G19" s="611">
        <v>408.9</v>
      </c>
      <c r="H19" s="610">
        <f>D19/G19</f>
        <v>11173.859134262657</v>
      </c>
      <c r="I19" s="612" t="s">
        <v>185</v>
      </c>
      <c r="J19" s="624">
        <f>4250+E19*5.5+G19*130</f>
        <v>152437.65</v>
      </c>
      <c r="K19" s="531"/>
      <c r="L19" s="490"/>
      <c r="M19" s="526">
        <f>'SUM2009'!D21</f>
        <v>3845279</v>
      </c>
      <c r="N19" s="364">
        <f>D19-M19</f>
        <v>723712</v>
      </c>
      <c r="P19" s="574">
        <v>17278.3</v>
      </c>
      <c r="Q19" s="580">
        <f t="shared" si="0"/>
        <v>0</v>
      </c>
      <c r="R19" s="584"/>
    </row>
    <row r="20" spans="1:18" ht="18" customHeight="1">
      <c r="A20" s="625" t="s">
        <v>77</v>
      </c>
      <c r="B20" s="626"/>
      <c r="C20" s="627"/>
      <c r="D20" s="628"/>
      <c r="E20" s="629"/>
      <c r="F20" s="629"/>
      <c r="G20" s="629"/>
      <c r="H20" s="628"/>
      <c r="I20" s="630"/>
      <c r="J20" s="631"/>
      <c r="K20" s="539"/>
      <c r="L20" s="490"/>
      <c r="M20" s="535"/>
      <c r="N20" s="535"/>
      <c r="P20" s="575"/>
      <c r="R20" s="584"/>
    </row>
    <row r="21" spans="1:18" ht="18" customHeight="1">
      <c r="A21" s="632" t="s">
        <v>229</v>
      </c>
      <c r="B21" s="633"/>
      <c r="C21" s="616" t="s">
        <v>151</v>
      </c>
      <c r="D21" s="619">
        <v>779527</v>
      </c>
      <c r="E21" s="634">
        <v>10195</v>
      </c>
      <c r="F21" s="634">
        <v>58.8</v>
      </c>
      <c r="G21" s="634">
        <v>64.2</v>
      </c>
      <c r="H21" s="619">
        <f>D21/G21</f>
        <v>12142.165109034268</v>
      </c>
      <c r="I21" s="620" t="s">
        <v>185</v>
      </c>
      <c r="J21" s="621">
        <f>(G21*130)+4250+(5.5*E21)</f>
        <v>68668.5</v>
      </c>
      <c r="K21" s="510"/>
      <c r="L21" s="490"/>
      <c r="M21" s="506">
        <f>'SUM2009'!D23</f>
        <v>537410</v>
      </c>
      <c r="N21" s="506">
        <f>D21-M21</f>
        <v>242117</v>
      </c>
      <c r="P21" s="571">
        <v>10195</v>
      </c>
      <c r="Q21" s="580">
        <f t="shared" si="0"/>
        <v>0</v>
      </c>
      <c r="R21" s="584"/>
    </row>
    <row r="22" spans="1:18" ht="18" customHeight="1" thickBot="1">
      <c r="A22" s="632">
        <v>52</v>
      </c>
      <c r="B22" s="633"/>
      <c r="C22" s="616" t="s">
        <v>244</v>
      </c>
      <c r="D22" s="636">
        <v>2516404</v>
      </c>
      <c r="E22" s="637">
        <v>1791</v>
      </c>
      <c r="F22" s="637">
        <v>257.89999999999998</v>
      </c>
      <c r="G22" s="637">
        <v>286.8</v>
      </c>
      <c r="H22" s="636">
        <f>D22/G22</f>
        <v>8774.0725244072528</v>
      </c>
      <c r="I22" s="646" t="s">
        <v>185</v>
      </c>
      <c r="J22" s="640">
        <f>(G22*130)+4250+(5.5*E22)</f>
        <v>51384.5</v>
      </c>
      <c r="K22" s="554"/>
      <c r="L22" s="490"/>
      <c r="M22" s="540">
        <f>'SUM2009'!D24</f>
        <v>2621475</v>
      </c>
      <c r="N22" s="540">
        <f>D22-M22</f>
        <v>-105071</v>
      </c>
      <c r="P22" s="576">
        <v>1791</v>
      </c>
      <c r="Q22" s="580">
        <f t="shared" si="0"/>
        <v>0</v>
      </c>
      <c r="R22" s="584"/>
    </row>
    <row r="23" spans="1:18" ht="18" customHeight="1" thickTop="1">
      <c r="A23" s="632"/>
      <c r="B23" s="633"/>
      <c r="C23" s="649" t="s">
        <v>280</v>
      </c>
      <c r="D23" s="650">
        <f>SUM(D21:D22)</f>
        <v>3295931</v>
      </c>
      <c r="E23" s="651">
        <f>SUM(E21:E22)</f>
        <v>11986</v>
      </c>
      <c r="F23" s="651">
        <f>SUM(F21:F22)</f>
        <v>316.7</v>
      </c>
      <c r="G23" s="651">
        <f>SUM(G21:G22)</f>
        <v>351</v>
      </c>
      <c r="H23" s="650">
        <f>SUM(H21:H22)</f>
        <v>20916.23763344152</v>
      </c>
      <c r="I23" s="620" t="s">
        <v>185</v>
      </c>
      <c r="J23" s="652">
        <f>SUM(J21:J22)</f>
        <v>120053</v>
      </c>
      <c r="K23" s="510"/>
      <c r="L23" s="490"/>
      <c r="M23" s="586">
        <f>SUM(M21:M22)</f>
        <v>3158885</v>
      </c>
      <c r="N23" s="506">
        <f>SUM(N21:N22)</f>
        <v>137046</v>
      </c>
      <c r="P23" s="571">
        <f>SUM(P21:P22)</f>
        <v>11986</v>
      </c>
      <c r="R23" s="582"/>
    </row>
    <row r="24" spans="1:18" ht="18" customHeight="1">
      <c r="A24" s="625" t="s">
        <v>78</v>
      </c>
      <c r="B24" s="626"/>
      <c r="C24" s="627"/>
      <c r="D24" s="628"/>
      <c r="E24" s="629"/>
      <c r="F24" s="629"/>
      <c r="G24" s="629"/>
      <c r="H24" s="628"/>
      <c r="I24" s="630"/>
      <c r="J24" s="631"/>
      <c r="K24" s="539"/>
      <c r="L24" s="490"/>
      <c r="M24" s="535"/>
      <c r="N24" s="398"/>
      <c r="P24" s="575"/>
      <c r="R24" s="582"/>
    </row>
    <row r="25" spans="1:18" ht="18" customHeight="1">
      <c r="A25" s="632" t="s">
        <v>230</v>
      </c>
      <c r="B25" s="633"/>
      <c r="C25" s="616" t="s">
        <v>134</v>
      </c>
      <c r="D25" s="619">
        <v>0</v>
      </c>
      <c r="E25" s="634">
        <v>6385.5</v>
      </c>
      <c r="F25" s="634">
        <v>0</v>
      </c>
      <c r="G25" s="634">
        <v>0</v>
      </c>
      <c r="H25" s="619">
        <v>0</v>
      </c>
      <c r="I25" s="620" t="s">
        <v>185</v>
      </c>
      <c r="J25" s="621">
        <f>ROUNDUP((G25*130)+4250+5.5*E25,2)</f>
        <v>39370.25</v>
      </c>
      <c r="K25" s="510"/>
      <c r="L25" s="490"/>
      <c r="M25" s="506">
        <v>0</v>
      </c>
      <c r="N25" s="360">
        <f>D25-M25</f>
        <v>0</v>
      </c>
      <c r="P25" s="571">
        <v>6385.5</v>
      </c>
      <c r="Q25" s="580">
        <f t="shared" si="0"/>
        <v>0</v>
      </c>
      <c r="R25" s="582"/>
    </row>
    <row r="26" spans="1:18" ht="18" customHeight="1" thickBot="1">
      <c r="A26" s="632" t="s">
        <v>231</v>
      </c>
      <c r="B26" s="633"/>
      <c r="C26" s="616" t="s">
        <v>178</v>
      </c>
      <c r="D26" s="636">
        <v>0</v>
      </c>
      <c r="E26" s="637">
        <v>2259</v>
      </c>
      <c r="F26" s="637">
        <v>0</v>
      </c>
      <c r="G26" s="637">
        <v>0</v>
      </c>
      <c r="H26" s="636">
        <v>0</v>
      </c>
      <c r="I26" s="646" t="s">
        <v>185</v>
      </c>
      <c r="J26" s="640">
        <f>(G26*130)+4250+5.5*E26</f>
        <v>16674.5</v>
      </c>
      <c r="K26" s="554"/>
      <c r="L26" s="490"/>
      <c r="M26" s="540">
        <v>0</v>
      </c>
      <c r="N26" s="361">
        <f>D26-M26</f>
        <v>0</v>
      </c>
      <c r="P26" s="576">
        <v>2259</v>
      </c>
      <c r="Q26" s="580">
        <f t="shared" si="0"/>
        <v>0</v>
      </c>
    </row>
    <row r="27" spans="1:18" ht="18" customHeight="1" thickTop="1">
      <c r="A27" s="641"/>
      <c r="B27" s="622"/>
      <c r="C27" s="642" t="s">
        <v>281</v>
      </c>
      <c r="D27" s="643">
        <f>SUM(D25:D26)</f>
        <v>0</v>
      </c>
      <c r="E27" s="644">
        <f>SUM(E25:E26)</f>
        <v>8644.5</v>
      </c>
      <c r="F27" s="644">
        <f>SUM(F25:F26)</f>
        <v>0</v>
      </c>
      <c r="G27" s="644">
        <f>SUM(G25:G26)</f>
        <v>0</v>
      </c>
      <c r="H27" s="643">
        <v>0</v>
      </c>
      <c r="I27" s="645" t="s">
        <v>185</v>
      </c>
      <c r="J27" s="653">
        <f>SUM(J25:J26)</f>
        <v>56044.75</v>
      </c>
      <c r="K27" s="550"/>
      <c r="L27" s="490"/>
      <c r="M27" s="546">
        <f>SUM(M25:M26)</f>
        <v>0</v>
      </c>
      <c r="N27" s="388">
        <f>D27-M27</f>
        <v>0</v>
      </c>
      <c r="P27" s="574">
        <f>SUM(P25:P26)</f>
        <v>8644.5</v>
      </c>
    </row>
    <row r="28" spans="1:18" ht="18" customHeight="1">
      <c r="A28" s="625" t="s">
        <v>219</v>
      </c>
      <c r="B28" s="626"/>
      <c r="C28" s="627"/>
      <c r="D28" s="628"/>
      <c r="E28" s="629"/>
      <c r="F28" s="629"/>
      <c r="G28" s="629"/>
      <c r="H28" s="628"/>
      <c r="I28" s="630"/>
      <c r="J28" s="631"/>
      <c r="K28" s="539"/>
      <c r="L28" s="490"/>
      <c r="M28" s="535"/>
      <c r="N28" s="398"/>
      <c r="P28" s="575"/>
    </row>
    <row r="29" spans="1:18" ht="18" customHeight="1">
      <c r="A29" s="632" t="s">
        <v>241</v>
      </c>
      <c r="B29" s="633"/>
      <c r="C29" s="616" t="s">
        <v>136</v>
      </c>
      <c r="D29" s="619">
        <v>2619457</v>
      </c>
      <c r="E29" s="634">
        <v>6838</v>
      </c>
      <c r="F29" s="634">
        <v>104</v>
      </c>
      <c r="G29" s="634">
        <v>126</v>
      </c>
      <c r="H29" s="619">
        <f>D29/G29</f>
        <v>20789.341269841269</v>
      </c>
      <c r="I29" s="620" t="s">
        <v>185</v>
      </c>
      <c r="J29" s="621">
        <f>(G29*130)+4250+5.5*E29</f>
        <v>58239</v>
      </c>
      <c r="K29" s="510"/>
      <c r="L29" s="490"/>
      <c r="M29" s="506">
        <f>'SUM2009'!D31</f>
        <v>3269696</v>
      </c>
      <c r="N29" s="360">
        <f t="shared" ref="N29:N35" si="1">D29-M29</f>
        <v>-650239</v>
      </c>
      <c r="P29" s="571">
        <v>6838</v>
      </c>
      <c r="Q29" s="580">
        <f t="shared" si="0"/>
        <v>0</v>
      </c>
    </row>
    <row r="30" spans="1:18" ht="18" customHeight="1">
      <c r="A30" s="632" t="s">
        <v>269</v>
      </c>
      <c r="B30" s="633"/>
      <c r="C30" s="616" t="s">
        <v>143</v>
      </c>
      <c r="D30" s="619">
        <v>5546567</v>
      </c>
      <c r="E30" s="634">
        <v>18672</v>
      </c>
      <c r="F30" s="634">
        <v>147</v>
      </c>
      <c r="G30" s="634">
        <v>446.2</v>
      </c>
      <c r="H30" s="619">
        <f t="shared" ref="H30:H36" si="2">D30/G30</f>
        <v>12430.674585387718</v>
      </c>
      <c r="I30" s="620" t="s">
        <v>185</v>
      </c>
      <c r="J30" s="621">
        <f t="shared" ref="J30:J36" si="3">(G30*130)+4250+5.5*E30</f>
        <v>164952</v>
      </c>
      <c r="K30" s="510"/>
      <c r="L30" s="490"/>
      <c r="M30" s="506">
        <f>'SUM2009'!D32</f>
        <v>5319321</v>
      </c>
      <c r="N30" s="360">
        <f t="shared" si="1"/>
        <v>227246</v>
      </c>
      <c r="P30" s="571">
        <v>18672</v>
      </c>
      <c r="Q30" s="580">
        <f t="shared" si="0"/>
        <v>0</v>
      </c>
    </row>
    <row r="31" spans="1:18" ht="18" customHeight="1">
      <c r="A31" s="632" t="s">
        <v>234</v>
      </c>
      <c r="B31" s="633"/>
      <c r="C31" s="616" t="s">
        <v>137</v>
      </c>
      <c r="D31" s="619">
        <v>2977555</v>
      </c>
      <c r="E31" s="634">
        <v>20039</v>
      </c>
      <c r="F31" s="634">
        <v>537.29999999999995</v>
      </c>
      <c r="G31" s="634">
        <v>299.3</v>
      </c>
      <c r="H31" s="619">
        <f t="shared" si="2"/>
        <v>9948.396257935181</v>
      </c>
      <c r="I31" s="620" t="s">
        <v>185</v>
      </c>
      <c r="J31" s="621">
        <f t="shared" si="3"/>
        <v>153373.5</v>
      </c>
      <c r="K31" s="510"/>
      <c r="L31" s="490"/>
      <c r="M31" s="506">
        <f>'SUM2009'!D33</f>
        <v>4976297</v>
      </c>
      <c r="N31" s="360">
        <f t="shared" si="1"/>
        <v>-1998742</v>
      </c>
      <c r="P31" s="571">
        <v>20039</v>
      </c>
      <c r="Q31" s="580">
        <f t="shared" si="0"/>
        <v>0</v>
      </c>
    </row>
    <row r="32" spans="1:18" ht="18" customHeight="1">
      <c r="A32" s="632" t="s">
        <v>235</v>
      </c>
      <c r="B32" s="633"/>
      <c r="C32" s="616" t="s">
        <v>155</v>
      </c>
      <c r="D32" s="619">
        <v>748921</v>
      </c>
      <c r="E32" s="634">
        <v>16867</v>
      </c>
      <c r="F32" s="634">
        <v>18</v>
      </c>
      <c r="G32" s="634">
        <v>42.4</v>
      </c>
      <c r="H32" s="619">
        <f t="shared" si="2"/>
        <v>17663.231132075471</v>
      </c>
      <c r="I32" s="620" t="s">
        <v>185</v>
      </c>
      <c r="J32" s="621">
        <f t="shared" si="3"/>
        <v>102530.5</v>
      </c>
      <c r="K32" s="510"/>
      <c r="L32" s="490"/>
      <c r="M32" s="506">
        <f>'SUM2009'!D34</f>
        <v>739879</v>
      </c>
      <c r="N32" s="360">
        <f t="shared" si="1"/>
        <v>9042</v>
      </c>
      <c r="P32" s="571">
        <v>16867</v>
      </c>
      <c r="Q32" s="580">
        <f t="shared" si="0"/>
        <v>0</v>
      </c>
    </row>
    <row r="33" spans="1:18" ht="18" customHeight="1">
      <c r="A33" s="632" t="s">
        <v>271</v>
      </c>
      <c r="B33" s="633"/>
      <c r="C33" s="616" t="s">
        <v>239</v>
      </c>
      <c r="D33" s="619">
        <v>1811838</v>
      </c>
      <c r="E33" s="634">
        <v>3184.6</v>
      </c>
      <c r="F33" s="634">
        <v>12.6</v>
      </c>
      <c r="G33" s="634">
        <v>52.7</v>
      </c>
      <c r="H33" s="619">
        <f t="shared" si="2"/>
        <v>34380.22770398482</v>
      </c>
      <c r="I33" s="620" t="s">
        <v>185</v>
      </c>
      <c r="J33" s="621">
        <f t="shared" si="3"/>
        <v>28616.3</v>
      </c>
      <c r="K33" s="510"/>
      <c r="L33" s="490"/>
      <c r="M33" s="506">
        <f>'SUM2009'!D35</f>
        <v>1801040</v>
      </c>
      <c r="N33" s="360">
        <f t="shared" si="1"/>
        <v>10798</v>
      </c>
      <c r="P33" s="571">
        <v>3184.6</v>
      </c>
      <c r="Q33" s="580">
        <f t="shared" si="0"/>
        <v>0</v>
      </c>
    </row>
    <row r="34" spans="1:18" ht="18" customHeight="1">
      <c r="A34" s="632" t="s">
        <v>272</v>
      </c>
      <c r="B34" s="633"/>
      <c r="C34" s="616" t="s">
        <v>165</v>
      </c>
      <c r="D34" s="617">
        <v>5364236</v>
      </c>
      <c r="E34" s="618">
        <v>15314</v>
      </c>
      <c r="F34" s="618">
        <v>62.3</v>
      </c>
      <c r="G34" s="618">
        <v>142.9</v>
      </c>
      <c r="H34" s="635">
        <f>D34/G34</f>
        <v>37538.390482855139</v>
      </c>
      <c r="I34" s="620" t="s">
        <v>185</v>
      </c>
      <c r="J34" s="654">
        <f>(G34*130)+4250+(5.5*E34)</f>
        <v>107054</v>
      </c>
      <c r="K34" s="510"/>
      <c r="L34" s="490"/>
      <c r="M34" s="511">
        <f>'SUM2009'!D5</f>
        <v>4887765</v>
      </c>
      <c r="N34" s="437">
        <f>D34-M34</f>
        <v>476471</v>
      </c>
      <c r="P34" s="572">
        <v>15314</v>
      </c>
      <c r="Q34" s="580">
        <f>E34-P34</f>
        <v>0</v>
      </c>
    </row>
    <row r="35" spans="1:18" ht="18" customHeight="1">
      <c r="A35" s="632" t="s">
        <v>273</v>
      </c>
      <c r="B35" s="633"/>
      <c r="C35" s="616" t="s">
        <v>274</v>
      </c>
      <c r="D35" s="619">
        <v>0</v>
      </c>
      <c r="E35" s="634">
        <v>404</v>
      </c>
      <c r="F35" s="634">
        <v>0</v>
      </c>
      <c r="G35" s="634">
        <v>0</v>
      </c>
      <c r="H35" s="619">
        <v>0</v>
      </c>
      <c r="I35" s="620" t="s">
        <v>185</v>
      </c>
      <c r="J35" s="621">
        <f t="shared" si="3"/>
        <v>6472</v>
      </c>
      <c r="K35" s="510"/>
      <c r="L35" s="490"/>
      <c r="M35" s="506">
        <f>'SUM2009'!D36</f>
        <v>0</v>
      </c>
      <c r="N35" s="360">
        <f t="shared" si="1"/>
        <v>0</v>
      </c>
      <c r="P35" s="571">
        <v>404</v>
      </c>
      <c r="Q35" s="580">
        <f t="shared" si="0"/>
        <v>0</v>
      </c>
    </row>
    <row r="36" spans="1:18" ht="18" customHeight="1">
      <c r="A36" s="632">
        <v>50</v>
      </c>
      <c r="B36" s="633"/>
      <c r="C36" s="616" t="s">
        <v>217</v>
      </c>
      <c r="D36" s="619">
        <v>6183327</v>
      </c>
      <c r="E36" s="634">
        <v>4854</v>
      </c>
      <c r="F36" s="634">
        <v>452.9</v>
      </c>
      <c r="G36" s="634">
        <v>489.5</v>
      </c>
      <c r="H36" s="619">
        <f t="shared" si="2"/>
        <v>12631.924412665985</v>
      </c>
      <c r="I36" s="620" t="s">
        <v>185</v>
      </c>
      <c r="J36" s="621">
        <f t="shared" si="3"/>
        <v>94582</v>
      </c>
      <c r="K36" s="510"/>
      <c r="L36" s="490"/>
      <c r="M36" s="506">
        <f>'SUM2009'!D37</f>
        <v>1286433</v>
      </c>
      <c r="N36" s="360">
        <f>D36-M36</f>
        <v>4896894</v>
      </c>
      <c r="P36" s="571">
        <v>4854</v>
      </c>
      <c r="Q36" s="580">
        <f t="shared" si="0"/>
        <v>0</v>
      </c>
    </row>
    <row r="37" spans="1:18" ht="18" customHeight="1">
      <c r="A37" s="632">
        <v>51</v>
      </c>
      <c r="B37" s="633"/>
      <c r="C37" s="616" t="s">
        <v>242</v>
      </c>
      <c r="D37" s="619">
        <v>0</v>
      </c>
      <c r="E37" s="634">
        <v>4314</v>
      </c>
      <c r="F37" s="634">
        <v>0</v>
      </c>
      <c r="G37" s="634">
        <v>0</v>
      </c>
      <c r="H37" s="619">
        <v>0</v>
      </c>
      <c r="I37" s="620" t="s">
        <v>185</v>
      </c>
      <c r="J37" s="621">
        <f>(G37*130)+4250+5.5*E37</f>
        <v>27977</v>
      </c>
      <c r="K37" s="510"/>
      <c r="L37" s="490"/>
      <c r="M37" s="506">
        <f>'SUM2009'!D38</f>
        <v>0</v>
      </c>
      <c r="N37" s="360">
        <f>D37-M37</f>
        <v>0</v>
      </c>
      <c r="P37" s="571">
        <v>4314</v>
      </c>
      <c r="Q37" s="580">
        <f t="shared" si="0"/>
        <v>0</v>
      </c>
    </row>
    <row r="38" spans="1:18" ht="18" customHeight="1">
      <c r="A38" s="632">
        <v>53</v>
      </c>
      <c r="B38" s="633"/>
      <c r="C38" s="616" t="s">
        <v>250</v>
      </c>
      <c r="D38" s="619">
        <v>2252130</v>
      </c>
      <c r="E38" s="634">
        <v>2307</v>
      </c>
      <c r="F38" s="634">
        <v>170.9</v>
      </c>
      <c r="G38" s="634">
        <v>302.39999999999998</v>
      </c>
      <c r="H38" s="635">
        <f>D38/G38</f>
        <v>7447.5198412698419</v>
      </c>
      <c r="I38" s="620" t="s">
        <v>185</v>
      </c>
      <c r="J38" s="621">
        <f>(G38*130)+4250+5.5*E38</f>
        <v>56250.5</v>
      </c>
      <c r="K38" s="510"/>
      <c r="L38" s="490"/>
      <c r="M38" s="506">
        <f>'SUM2009'!D39</f>
        <v>1000525</v>
      </c>
      <c r="N38" s="412">
        <f>D38-M38</f>
        <v>1251605</v>
      </c>
      <c r="P38" s="571">
        <v>2307</v>
      </c>
      <c r="Q38" s="580">
        <f t="shared" si="0"/>
        <v>0</v>
      </c>
    </row>
    <row r="39" spans="1:18" ht="18" customHeight="1" thickBot="1">
      <c r="A39" s="632">
        <v>54</v>
      </c>
      <c r="B39" s="633"/>
      <c r="C39" s="616" t="s">
        <v>275</v>
      </c>
      <c r="D39" s="619">
        <v>0</v>
      </c>
      <c r="E39" s="634">
        <v>2198</v>
      </c>
      <c r="F39" s="634">
        <v>388.2</v>
      </c>
      <c r="G39" s="637">
        <v>0</v>
      </c>
      <c r="H39" s="655">
        <v>0</v>
      </c>
      <c r="I39" s="656" t="s">
        <v>185</v>
      </c>
      <c r="J39" s="640">
        <f>(G39*130)+4250+5.5*E39</f>
        <v>16339</v>
      </c>
      <c r="K39" s="554"/>
      <c r="L39" s="490"/>
      <c r="M39" s="506">
        <v>0</v>
      </c>
      <c r="N39" s="360">
        <f>D39-M39</f>
        <v>0</v>
      </c>
      <c r="P39" s="576">
        <v>2198</v>
      </c>
      <c r="Q39" s="580">
        <f t="shared" si="0"/>
        <v>0</v>
      </c>
    </row>
    <row r="40" spans="1:18" ht="18" customHeight="1" thickTop="1">
      <c r="A40" s="641"/>
      <c r="B40" s="622"/>
      <c r="C40" s="642" t="s">
        <v>282</v>
      </c>
      <c r="D40" s="657">
        <f>SUM(D29:D39)</f>
        <v>27504031</v>
      </c>
      <c r="E40" s="658">
        <f>SUM(E29:E39)</f>
        <v>94991.6</v>
      </c>
      <c r="F40" s="658">
        <f>SUM(F29:F39)</f>
        <v>1893.2</v>
      </c>
      <c r="G40" s="644">
        <f>SUM(G29:G39)</f>
        <v>1901.4</v>
      </c>
      <c r="H40" s="643">
        <f>D40/G40</f>
        <v>14465.147259913747</v>
      </c>
      <c r="I40" s="645" t="s">
        <v>185</v>
      </c>
      <c r="J40" s="613">
        <f>SUM(J29:J39)</f>
        <v>816385.8</v>
      </c>
      <c r="K40" s="550"/>
      <c r="L40" s="490"/>
      <c r="M40" s="560">
        <f>SUM(M29:M39)</f>
        <v>23280956</v>
      </c>
      <c r="N40" s="385">
        <f>D40-M40</f>
        <v>4223075</v>
      </c>
      <c r="P40" s="590">
        <f>SUM(P29:P39)</f>
        <v>94991.6</v>
      </c>
    </row>
    <row r="41" spans="1:18" ht="18" customHeight="1">
      <c r="A41" s="625" t="s">
        <v>86</v>
      </c>
      <c r="B41" s="626"/>
      <c r="C41" s="627"/>
      <c r="D41" s="619"/>
      <c r="E41" s="634"/>
      <c r="F41" s="634"/>
      <c r="G41" s="629"/>
      <c r="H41" s="628"/>
      <c r="I41" s="630"/>
      <c r="J41" s="631"/>
      <c r="K41" s="539"/>
      <c r="L41" s="490"/>
      <c r="M41" s="506"/>
      <c r="N41" s="360"/>
      <c r="P41" s="575"/>
    </row>
    <row r="42" spans="1:18" ht="18" customHeight="1" thickBot="1">
      <c r="A42" s="659" t="s">
        <v>252</v>
      </c>
      <c r="B42" s="660"/>
      <c r="C42" s="661" t="s">
        <v>139</v>
      </c>
      <c r="D42" s="636">
        <v>1869981</v>
      </c>
      <c r="E42" s="637">
        <v>6274</v>
      </c>
      <c r="F42" s="637">
        <v>405.1</v>
      </c>
      <c r="G42" s="637">
        <v>124.4</v>
      </c>
      <c r="H42" s="636">
        <f>D42/G42</f>
        <v>15032.00160771704</v>
      </c>
      <c r="I42" s="646" t="s">
        <v>185</v>
      </c>
      <c r="J42" s="662">
        <f>(G42*130)+4250+5.5*E42</f>
        <v>54929</v>
      </c>
      <c r="K42" s="554"/>
      <c r="L42" s="490"/>
      <c r="M42" s="540">
        <f>'SUM2009'!D42</f>
        <v>1724612</v>
      </c>
      <c r="N42" s="361">
        <f>D42-M42</f>
        <v>145369</v>
      </c>
      <c r="P42" s="576">
        <v>6274</v>
      </c>
      <c r="Q42" s="580">
        <f t="shared" si="0"/>
        <v>0</v>
      </c>
      <c r="R42" s="584"/>
    </row>
    <row r="43" spans="1:18" ht="27.75" customHeight="1" thickTop="1" thickBot="1">
      <c r="A43" s="2027" t="s">
        <v>44</v>
      </c>
      <c r="B43" s="2028"/>
      <c r="C43" s="2029"/>
      <c r="D43" s="663">
        <f>SUM(D4,D6,D11,D13,D17,D19,D23,D27,D40,D42)</f>
        <v>41419857</v>
      </c>
      <c r="E43" s="664">
        <f>SUM(E4,E6,E11,E13,E17,E19,E23,E27,E40,E42)</f>
        <v>181335.1</v>
      </c>
      <c r="F43" s="664">
        <f>SUM(F4,F6,F11,F13,F17,F19,F23,F27,F40,F42)</f>
        <v>2986.9</v>
      </c>
      <c r="G43" s="664">
        <f>SUM(G4,G6,G11,G13,G17,G19,G23,G27,G40,G42)</f>
        <v>3036.3</v>
      </c>
      <c r="H43" s="663">
        <f>D43/G43</f>
        <v>13641.556170338899</v>
      </c>
      <c r="I43" s="665" t="s">
        <v>185</v>
      </c>
      <c r="J43" s="666">
        <f>(J4+J6+J11+J13+J17+J19+J23+J27+J40+J42)</f>
        <v>1498312.05</v>
      </c>
      <c r="K43" s="568"/>
      <c r="M43" s="593">
        <f>SUM(M4,M6,M11,M13,M17,M19,M23,M27,M40,M42)</f>
        <v>37099067</v>
      </c>
      <c r="N43" s="592">
        <f>D43-M43</f>
        <v>4320790</v>
      </c>
      <c r="O43" s="485">
        <f>N43/M43</f>
        <v>0.11646627124072959</v>
      </c>
      <c r="P43" s="577">
        <f>SUM(P4,P6,P11,P13,P17,P19,P23,P27,P40,P42)</f>
        <v>181335.1</v>
      </c>
      <c r="Q43" s="580">
        <f t="shared" si="0"/>
        <v>0</v>
      </c>
      <c r="R43" s="485">
        <f>Q43/P43</f>
        <v>0</v>
      </c>
    </row>
    <row r="44" spans="1:18" ht="18" customHeight="1">
      <c r="G44" s="391"/>
      <c r="H44" s="401"/>
      <c r="I44" s="417"/>
      <c r="K44" s="417"/>
      <c r="P44" s="578"/>
    </row>
    <row r="46" spans="1:18" s="673" customFormat="1" ht="18" customHeight="1">
      <c r="A46" s="667"/>
      <c r="B46" s="667"/>
      <c r="C46" s="667"/>
      <c r="D46" s="668"/>
      <c r="E46" s="669"/>
      <c r="F46" s="669"/>
      <c r="G46" s="677">
        <f>G43-'SUM2009'!G43</f>
        <v>348.28999999999996</v>
      </c>
      <c r="H46" s="668"/>
      <c r="I46" s="670"/>
      <c r="J46" s="671">
        <f>(25*4250)+(E43*5.5)+(G43*130)</f>
        <v>1498312.05</v>
      </c>
      <c r="K46" s="670"/>
      <c r="L46" s="667"/>
      <c r="M46" s="668"/>
      <c r="N46" s="672"/>
      <c r="P46" s="674"/>
      <c r="Q46" s="675"/>
    </row>
    <row r="47" spans="1:18" s="673" customFormat="1" ht="18" customHeight="1">
      <c r="A47" s="667"/>
      <c r="B47" s="667"/>
      <c r="C47" s="667"/>
      <c r="D47" s="668"/>
      <c r="E47" s="669"/>
      <c r="F47" s="676"/>
      <c r="G47" s="679">
        <f>G46/'SUM2009'!G43</f>
        <v>0.12957169058150822</v>
      </c>
      <c r="H47" s="668"/>
      <c r="I47" s="670"/>
      <c r="J47" s="671">
        <f>J46-J43</f>
        <v>0</v>
      </c>
      <c r="K47" s="678" t="s">
        <v>283</v>
      </c>
      <c r="L47" s="667"/>
      <c r="M47" s="668"/>
      <c r="P47" s="674"/>
      <c r="Q47" s="675"/>
    </row>
    <row r="49" spans="13:14" ht="18" customHeight="1">
      <c r="M49" s="402">
        <f>M17+M30+M32+M33+M31+M38</f>
        <v>18926397</v>
      </c>
      <c r="N49" s="680" t="s">
        <v>284</v>
      </c>
    </row>
  </sheetData>
  <mergeCells count="15">
    <mergeCell ref="Q1:Q2"/>
    <mergeCell ref="A43:C43"/>
    <mergeCell ref="J1:J2"/>
    <mergeCell ref="K1:K2"/>
    <mergeCell ref="M1:M2"/>
    <mergeCell ref="N1:N2"/>
    <mergeCell ref="F1:F2"/>
    <mergeCell ref="G1:G2"/>
    <mergeCell ref="H1:H2"/>
    <mergeCell ref="I1:I2"/>
    <mergeCell ref="A1:A2"/>
    <mergeCell ref="C1:C2"/>
    <mergeCell ref="D1:D2"/>
    <mergeCell ref="E1:E2"/>
    <mergeCell ref="P1:P2"/>
  </mergeCells>
  <phoneticPr fontId="0" type="noConversion"/>
  <pageMargins left="0.32" right="0.28000000000000003" top="1.61" bottom="0.56000000000000005" header="1.22" footer="0.31"/>
  <pageSetup scale="68" orientation="portrait" r:id="rId1"/>
  <headerFooter alignWithMargins="0">
    <oddHeader>&amp;C&amp;"Arial,Bold"&amp;14Summary of 2011 Annual Coal Production Reports and Fee Payments</oddHeader>
    <oddFooter>&amp;L&amp;D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R47"/>
  <sheetViews>
    <sheetView zoomScale="68" zoomScaleNormal="68" workbookViewId="0">
      <pane xSplit="3" ySplit="2" topLeftCell="D9" activePane="bottomRight" state="frozen"/>
      <selection activeCell="E51" sqref="E51"/>
      <selection pane="topRight" activeCell="E51" sqref="E51"/>
      <selection pane="bottomLeft" activeCell="E51" sqref="E51"/>
      <selection pane="bottomRight" activeCell="E51" sqref="E51"/>
    </sheetView>
  </sheetViews>
  <sheetFormatPr defaultColWidth="9.140625" defaultRowHeight="18" customHeight="1"/>
  <cols>
    <col min="1" max="1" width="15.140625" style="178" customWidth="1"/>
    <col min="2" max="2" width="1.85546875" style="178" customWidth="1"/>
    <col min="3" max="3" width="29.42578125" style="178" customWidth="1"/>
    <col min="4" max="4" width="19.7109375" style="402" customWidth="1"/>
    <col min="5" max="6" width="18.85546875" style="389" customWidth="1"/>
    <col min="7" max="7" width="19.42578125" style="389" customWidth="1"/>
    <col min="8" max="8" width="21.42578125" style="402" customWidth="1"/>
    <col min="9" max="9" width="3.28515625" style="418" customWidth="1"/>
    <col min="10" max="10" width="16.42578125" style="491" customWidth="1"/>
    <col min="11" max="11" width="3.5703125" style="418" customWidth="1"/>
    <col min="12" max="12" width="5.85546875" style="178" customWidth="1"/>
    <col min="13" max="13" width="19.7109375" style="402" customWidth="1"/>
    <col min="14" max="14" width="18" style="337" customWidth="1"/>
    <col min="15" max="15" width="9.85546875" style="337" customWidth="1"/>
    <col min="16" max="16" width="17.7109375" style="579" customWidth="1"/>
    <col min="17" max="17" width="10.42578125" style="580" bestFit="1" customWidth="1"/>
    <col min="18" max="18" width="9.5703125" style="337" customWidth="1"/>
    <col min="19" max="16384" width="9.140625" style="337"/>
  </cols>
  <sheetData>
    <row r="1" spans="1:17" s="482" customFormat="1" ht="18" customHeight="1">
      <c r="A1" s="2072" t="s">
        <v>6</v>
      </c>
      <c r="B1" s="493"/>
      <c r="C1" s="2074" t="s">
        <v>162</v>
      </c>
      <c r="D1" s="2068" t="s">
        <v>248</v>
      </c>
      <c r="E1" s="2065" t="s">
        <v>190</v>
      </c>
      <c r="F1" s="2065" t="s">
        <v>187</v>
      </c>
      <c r="G1" s="2065" t="s">
        <v>186</v>
      </c>
      <c r="H1" s="2068" t="s">
        <v>238</v>
      </c>
      <c r="I1" s="2070" t="s">
        <v>184</v>
      </c>
      <c r="J1" s="2063" t="s">
        <v>164</v>
      </c>
      <c r="K1" s="2045" t="s">
        <v>184</v>
      </c>
      <c r="L1" s="488"/>
      <c r="M1" s="2047" t="s">
        <v>243</v>
      </c>
      <c r="N1" s="2049" t="s">
        <v>208</v>
      </c>
      <c r="P1" s="2058" t="s">
        <v>251</v>
      </c>
      <c r="Q1" s="2044"/>
    </row>
    <row r="2" spans="1:17" s="482" customFormat="1" ht="22.5" customHeight="1" thickBot="1">
      <c r="A2" s="2073"/>
      <c r="B2" s="494"/>
      <c r="C2" s="2075"/>
      <c r="D2" s="2076"/>
      <c r="E2" s="2066"/>
      <c r="F2" s="2066"/>
      <c r="G2" s="2067"/>
      <c r="H2" s="2069"/>
      <c r="I2" s="2071"/>
      <c r="J2" s="2064"/>
      <c r="K2" s="2046"/>
      <c r="L2" s="488"/>
      <c r="M2" s="2048"/>
      <c r="N2" s="2050"/>
      <c r="P2" s="2059"/>
      <c r="Q2" s="2044"/>
    </row>
    <row r="3" spans="1:17" ht="18" customHeight="1">
      <c r="A3" s="495" t="s">
        <v>110</v>
      </c>
      <c r="B3" s="496"/>
      <c r="C3" s="497"/>
      <c r="D3" s="498"/>
      <c r="E3" s="499"/>
      <c r="F3" s="499"/>
      <c r="G3" s="499"/>
      <c r="H3" s="498"/>
      <c r="I3" s="500"/>
      <c r="J3" s="501"/>
      <c r="K3" s="502"/>
      <c r="L3" s="489"/>
      <c r="M3" s="498"/>
      <c r="N3" s="397"/>
      <c r="P3" s="570"/>
    </row>
    <row r="4" spans="1:17" ht="18" customHeight="1">
      <c r="A4" s="503" t="s">
        <v>249</v>
      </c>
      <c r="B4" s="504"/>
      <c r="C4" s="505" t="s">
        <v>125</v>
      </c>
      <c r="D4" s="506">
        <v>0</v>
      </c>
      <c r="E4" s="507">
        <v>16317.5</v>
      </c>
      <c r="F4" s="507">
        <v>0</v>
      </c>
      <c r="G4" s="507">
        <v>0</v>
      </c>
      <c r="H4" s="506">
        <v>0</v>
      </c>
      <c r="I4" s="508" t="s">
        <v>185</v>
      </c>
      <c r="J4" s="509">
        <f>(G4*130)+4250+(5.5*E4)</f>
        <v>93996.25</v>
      </c>
      <c r="K4" s="510"/>
      <c r="L4" s="490"/>
      <c r="M4" s="506">
        <v>0</v>
      </c>
      <c r="N4" s="360">
        <f>D4-M4</f>
        <v>0</v>
      </c>
      <c r="P4" s="571">
        <v>16317.5</v>
      </c>
      <c r="Q4" s="580">
        <f>E4-P4</f>
        <v>0</v>
      </c>
    </row>
    <row r="5" spans="1:17" ht="18" customHeight="1" thickBot="1">
      <c r="A5" s="503">
        <v>48</v>
      </c>
      <c r="B5" s="504"/>
      <c r="C5" s="505" t="s">
        <v>165</v>
      </c>
      <c r="D5" s="511">
        <v>4887765</v>
      </c>
      <c r="E5" s="512">
        <v>15316</v>
      </c>
      <c r="F5" s="512">
        <v>322.5</v>
      </c>
      <c r="G5" s="512">
        <v>200.9</v>
      </c>
      <c r="H5" s="513">
        <f>D5/G5</f>
        <v>24329.342956694873</v>
      </c>
      <c r="I5" s="508" t="s">
        <v>185</v>
      </c>
      <c r="J5" s="509">
        <f>(G5*130)+4250+(5.5*E5)</f>
        <v>114605</v>
      </c>
      <c r="K5" s="510"/>
      <c r="L5" s="490"/>
      <c r="M5" s="511">
        <v>3754012</v>
      </c>
      <c r="N5" s="437">
        <f>D5-M5</f>
        <v>1133753</v>
      </c>
      <c r="P5" s="572">
        <v>15316</v>
      </c>
      <c r="Q5" s="580">
        <f t="shared" ref="Q5:Q12" si="0">E5-P5</f>
        <v>0</v>
      </c>
    </row>
    <row r="6" spans="1:17" ht="18" customHeight="1" thickTop="1">
      <c r="A6" s="514"/>
      <c r="B6" s="515"/>
      <c r="C6" s="516" t="s">
        <v>166</v>
      </c>
      <c r="D6" s="517">
        <f>SUM(D4:D5)</f>
        <v>4887765</v>
      </c>
      <c r="E6" s="518">
        <f>SUM(E4:E5)</f>
        <v>31633.5</v>
      </c>
      <c r="F6" s="518">
        <f>SUM(F4:F5)</f>
        <v>322.5</v>
      </c>
      <c r="G6" s="518">
        <f>SUM(G4:G5)</f>
        <v>200.9</v>
      </c>
      <c r="H6" s="517">
        <f>D6/G6</f>
        <v>24329.342956694873</v>
      </c>
      <c r="I6" s="519" t="s">
        <v>185</v>
      </c>
      <c r="J6" s="520">
        <f>SUM(J4,J5)</f>
        <v>208601.25</v>
      </c>
      <c r="K6" s="521"/>
      <c r="L6" s="490"/>
      <c r="M6" s="517">
        <f>SUM(M4:M5)</f>
        <v>3754012</v>
      </c>
      <c r="N6" s="438">
        <f>D6-M6</f>
        <v>1133753</v>
      </c>
      <c r="P6" s="573">
        <f>SUM(P4:P5)</f>
        <v>31633.5</v>
      </c>
    </row>
    <row r="7" spans="1:17" ht="18" customHeight="1">
      <c r="A7" s="522" t="s">
        <v>246</v>
      </c>
      <c r="B7" s="523"/>
      <c r="C7" s="505"/>
      <c r="D7" s="511"/>
      <c r="E7" s="512"/>
      <c r="F7" s="512"/>
      <c r="G7" s="512"/>
      <c r="H7" s="506"/>
      <c r="I7" s="508"/>
      <c r="J7" s="524"/>
      <c r="K7" s="510"/>
      <c r="L7" s="490"/>
      <c r="M7" s="511"/>
      <c r="N7" s="437"/>
      <c r="P7" s="572"/>
    </row>
    <row r="8" spans="1:17" ht="18" customHeight="1">
      <c r="A8" s="551" t="s">
        <v>240</v>
      </c>
      <c r="B8" s="515"/>
      <c r="C8" s="525" t="s">
        <v>144</v>
      </c>
      <c r="D8" s="526">
        <v>0</v>
      </c>
      <c r="E8" s="527">
        <v>803</v>
      </c>
      <c r="F8" s="527">
        <v>0</v>
      </c>
      <c r="G8" s="527">
        <v>0</v>
      </c>
      <c r="H8" s="528">
        <v>0</v>
      </c>
      <c r="I8" s="529" t="s">
        <v>185</v>
      </c>
      <c r="J8" s="594">
        <f>(G8*130)+4250+5.5*E8</f>
        <v>8666.5</v>
      </c>
      <c r="K8" s="531"/>
      <c r="L8" s="490"/>
      <c r="M8" s="526">
        <v>0</v>
      </c>
      <c r="N8" s="364">
        <f>D8-M8</f>
        <v>0</v>
      </c>
      <c r="P8" s="574">
        <v>803</v>
      </c>
      <c r="Q8" s="580">
        <f t="shared" si="0"/>
        <v>0</v>
      </c>
    </row>
    <row r="9" spans="1:17" ht="18" customHeight="1">
      <c r="A9" s="532" t="s">
        <v>147</v>
      </c>
      <c r="B9" s="533"/>
      <c r="C9" s="534"/>
      <c r="D9" s="535"/>
      <c r="E9" s="536"/>
      <c r="F9" s="536"/>
      <c r="G9" s="536"/>
      <c r="H9" s="535"/>
      <c r="I9" s="537"/>
      <c r="J9" s="538"/>
      <c r="K9" s="539"/>
      <c r="L9" s="490"/>
      <c r="M9" s="535"/>
      <c r="N9" s="398"/>
      <c r="P9" s="575"/>
    </row>
    <row r="10" spans="1:17" ht="18" customHeight="1">
      <c r="A10" s="503" t="s">
        <v>223</v>
      </c>
      <c r="B10" s="504"/>
      <c r="C10" s="505" t="s">
        <v>127</v>
      </c>
      <c r="D10" s="506">
        <v>0</v>
      </c>
      <c r="E10" s="507">
        <v>2785</v>
      </c>
      <c r="F10" s="507">
        <v>0</v>
      </c>
      <c r="G10" s="507">
        <v>0</v>
      </c>
      <c r="H10" s="513">
        <v>0</v>
      </c>
      <c r="I10" s="508" t="s">
        <v>185</v>
      </c>
      <c r="J10" s="524">
        <f>(G10*130)+4250+(5.5*E10)</f>
        <v>19567.5</v>
      </c>
      <c r="K10" s="510"/>
      <c r="L10" s="490"/>
      <c r="M10" s="506">
        <v>0</v>
      </c>
      <c r="N10" s="360">
        <f>D10-M10</f>
        <v>0</v>
      </c>
      <c r="P10" s="571">
        <v>2785</v>
      </c>
      <c r="Q10" s="580">
        <f t="shared" si="0"/>
        <v>0</v>
      </c>
    </row>
    <row r="11" spans="1:17" ht="18" customHeight="1">
      <c r="A11" s="503" t="s">
        <v>224</v>
      </c>
      <c r="B11" s="504"/>
      <c r="C11" s="505" t="s">
        <v>128</v>
      </c>
      <c r="D11" s="506">
        <v>0</v>
      </c>
      <c r="E11" s="507">
        <v>682.8</v>
      </c>
      <c r="F11" s="507">
        <v>0</v>
      </c>
      <c r="G11" s="507">
        <v>0</v>
      </c>
      <c r="H11" s="506">
        <v>0</v>
      </c>
      <c r="I11" s="508" t="s">
        <v>185</v>
      </c>
      <c r="J11" s="524">
        <f>(G11*130)+4250+(5.5*E11)</f>
        <v>8005.4</v>
      </c>
      <c r="K11" s="510"/>
      <c r="L11" s="490"/>
      <c r="M11" s="506">
        <v>0</v>
      </c>
      <c r="N11" s="360">
        <f>D11-M11</f>
        <v>0</v>
      </c>
      <c r="P11" s="571">
        <v>682.8</v>
      </c>
      <c r="Q11" s="580">
        <f t="shared" si="0"/>
        <v>0</v>
      </c>
    </row>
    <row r="12" spans="1:17" ht="18" customHeight="1" thickBot="1">
      <c r="A12" s="503" t="s">
        <v>225</v>
      </c>
      <c r="B12" s="504"/>
      <c r="C12" s="505" t="s">
        <v>177</v>
      </c>
      <c r="D12" s="540">
        <v>0</v>
      </c>
      <c r="E12" s="541">
        <v>536.20000000000005</v>
      </c>
      <c r="F12" s="541">
        <v>0</v>
      </c>
      <c r="G12" s="541">
        <v>0</v>
      </c>
      <c r="H12" s="542">
        <v>0</v>
      </c>
      <c r="I12" s="543" t="s">
        <v>185</v>
      </c>
      <c r="J12" s="544">
        <f>(G12*130)+4250+(5.5*E12)</f>
        <v>7199.1</v>
      </c>
      <c r="K12" s="545"/>
      <c r="L12" s="490"/>
      <c r="M12" s="540">
        <v>0</v>
      </c>
      <c r="N12" s="361">
        <f>D12-M12</f>
        <v>0</v>
      </c>
      <c r="P12" s="576">
        <v>536.20000000000005</v>
      </c>
      <c r="Q12" s="580">
        <f t="shared" si="0"/>
        <v>0</v>
      </c>
    </row>
    <row r="13" spans="1:17" ht="18" customHeight="1" thickTop="1">
      <c r="A13" s="514"/>
      <c r="B13" s="515"/>
      <c r="C13" s="516" t="s">
        <v>167</v>
      </c>
      <c r="D13" s="546">
        <f>SUM(D10:D12)</f>
        <v>0</v>
      </c>
      <c r="E13" s="547">
        <f>SUM(E10:E12)</f>
        <v>4004</v>
      </c>
      <c r="F13" s="547">
        <f>SUM(F10:F12)</f>
        <v>0</v>
      </c>
      <c r="G13" s="547">
        <f>SUM(G10:G12)</f>
        <v>0</v>
      </c>
      <c r="H13" s="546">
        <f>SUM(H10:H12)</f>
        <v>0</v>
      </c>
      <c r="I13" s="548" t="s">
        <v>185</v>
      </c>
      <c r="J13" s="549">
        <f>SUM(J10:J12)</f>
        <v>34772</v>
      </c>
      <c r="K13" s="550"/>
      <c r="L13" s="490"/>
      <c r="M13" s="546">
        <f>SUM(M10:M12)</f>
        <v>0</v>
      </c>
      <c r="N13" s="388">
        <f>D13-M13</f>
        <v>0</v>
      </c>
      <c r="P13" s="574">
        <f>SUM(P10:P12)</f>
        <v>4004</v>
      </c>
    </row>
    <row r="14" spans="1:17" ht="18" customHeight="1">
      <c r="A14" s="532" t="s">
        <v>72</v>
      </c>
      <c r="B14" s="533"/>
      <c r="C14" s="534"/>
      <c r="D14" s="535"/>
      <c r="E14" s="536"/>
      <c r="F14" s="536"/>
      <c r="G14" s="536"/>
      <c r="H14" s="535"/>
      <c r="I14" s="537"/>
      <c r="J14" s="538"/>
      <c r="K14" s="539"/>
      <c r="L14" s="490"/>
      <c r="M14" s="535"/>
      <c r="N14" s="398"/>
      <c r="P14" s="575"/>
    </row>
    <row r="15" spans="1:17" ht="18" customHeight="1">
      <c r="A15" s="551" t="s">
        <v>226</v>
      </c>
      <c r="B15" s="552"/>
      <c r="C15" s="525" t="s">
        <v>131</v>
      </c>
      <c r="D15" s="526">
        <v>0</v>
      </c>
      <c r="E15" s="527">
        <v>437</v>
      </c>
      <c r="F15" s="527">
        <v>0</v>
      </c>
      <c r="G15" s="527">
        <v>0</v>
      </c>
      <c r="H15" s="528">
        <v>0</v>
      </c>
      <c r="I15" s="529" t="s">
        <v>185</v>
      </c>
      <c r="J15" s="594">
        <f>(G15*130)+4250+5.5*E15</f>
        <v>6653.5</v>
      </c>
      <c r="K15" s="531"/>
      <c r="L15" s="490"/>
      <c r="M15" s="526">
        <v>0</v>
      </c>
      <c r="N15" s="364">
        <f>D15-M15</f>
        <v>0</v>
      </c>
      <c r="P15" s="574">
        <v>437</v>
      </c>
      <c r="Q15" s="580">
        <f t="shared" ref="Q15:Q43" si="1">E15-P15</f>
        <v>0</v>
      </c>
    </row>
    <row r="16" spans="1:17" ht="18" customHeight="1">
      <c r="A16" s="532" t="s">
        <v>180</v>
      </c>
      <c r="B16" s="533"/>
      <c r="C16" s="534"/>
      <c r="D16" s="535"/>
      <c r="E16" s="536"/>
      <c r="F16" s="536"/>
      <c r="G16" s="536"/>
      <c r="H16" s="535"/>
      <c r="I16" s="537"/>
      <c r="J16" s="538"/>
      <c r="K16" s="539"/>
      <c r="L16" s="490"/>
      <c r="M16" s="535"/>
      <c r="N16" s="398"/>
      <c r="P16" s="575"/>
    </row>
    <row r="17" spans="1:18" ht="18" customHeight="1">
      <c r="A17" s="503" t="s">
        <v>227</v>
      </c>
      <c r="B17" s="504"/>
      <c r="C17" s="505" t="s">
        <v>132</v>
      </c>
      <c r="D17" s="506">
        <v>697236</v>
      </c>
      <c r="E17" s="507">
        <v>16267.7</v>
      </c>
      <c r="F17" s="507">
        <v>63.6</v>
      </c>
      <c r="G17" s="507">
        <v>52.8</v>
      </c>
      <c r="H17" s="506">
        <f>D17/G17</f>
        <v>13205.227272727274</v>
      </c>
      <c r="I17" s="508" t="s">
        <v>185</v>
      </c>
      <c r="J17" s="524">
        <f>(G17*130)+4250+5.5*E17</f>
        <v>100586.35</v>
      </c>
      <c r="K17" s="510"/>
      <c r="L17" s="490"/>
      <c r="M17" s="506">
        <v>1020303</v>
      </c>
      <c r="N17" s="360">
        <f>D17-M17</f>
        <v>-323067</v>
      </c>
      <c r="P17" s="571">
        <v>16267.7</v>
      </c>
      <c r="Q17" s="580">
        <f t="shared" si="1"/>
        <v>0</v>
      </c>
    </row>
    <row r="18" spans="1:18" ht="18" customHeight="1" thickBot="1">
      <c r="A18" s="503" t="s">
        <v>253</v>
      </c>
      <c r="B18" s="504"/>
      <c r="C18" s="505" t="s">
        <v>157</v>
      </c>
      <c r="D18" s="540">
        <v>4392099</v>
      </c>
      <c r="E18" s="541">
        <v>4304.3</v>
      </c>
      <c r="F18" s="541">
        <v>298</v>
      </c>
      <c r="G18" s="541">
        <v>277.5</v>
      </c>
      <c r="H18" s="540">
        <f>D18/G18</f>
        <v>15827.383783783784</v>
      </c>
      <c r="I18" s="553" t="s">
        <v>185</v>
      </c>
      <c r="J18" s="544">
        <f>ROUNDUP((G18*130)+4250+5.5*E18,2)</f>
        <v>63998.65</v>
      </c>
      <c r="K18" s="554"/>
      <c r="L18" s="490"/>
      <c r="M18" s="540">
        <v>5470255</v>
      </c>
      <c r="N18" s="361">
        <f>D18-M18</f>
        <v>-1078156</v>
      </c>
      <c r="P18" s="576">
        <v>4304.3</v>
      </c>
      <c r="Q18" s="580">
        <f t="shared" si="1"/>
        <v>0</v>
      </c>
    </row>
    <row r="19" spans="1:18" ht="18" customHeight="1" thickTop="1">
      <c r="A19" s="514"/>
      <c r="B19" s="515"/>
      <c r="C19" s="516" t="s">
        <v>188</v>
      </c>
      <c r="D19" s="546">
        <f>SUM(D17:D18)</f>
        <v>5089335</v>
      </c>
      <c r="E19" s="547">
        <f>SUM(E17:E18)</f>
        <v>20572</v>
      </c>
      <c r="F19" s="547">
        <f>SUM(F17:F18)</f>
        <v>361.6</v>
      </c>
      <c r="G19" s="547">
        <f>SUM(G17:G18)</f>
        <v>330.3</v>
      </c>
      <c r="H19" s="546">
        <f>D19/G19</f>
        <v>15408.219800181652</v>
      </c>
      <c r="I19" s="555" t="s">
        <v>185</v>
      </c>
      <c r="J19" s="556">
        <f>ROUNDUP(SUM(J17:J18),2)</f>
        <v>164585</v>
      </c>
      <c r="K19" s="557"/>
      <c r="L19" s="490"/>
      <c r="M19" s="546">
        <f>SUM(M17:M18)</f>
        <v>6490558</v>
      </c>
      <c r="N19" s="388">
        <f>D19-M19</f>
        <v>-1401223</v>
      </c>
      <c r="P19" s="574">
        <f>SUM(P17:P18)</f>
        <v>20572</v>
      </c>
    </row>
    <row r="20" spans="1:18" ht="18" customHeight="1">
      <c r="A20" s="532" t="s">
        <v>75</v>
      </c>
      <c r="B20" s="533"/>
      <c r="C20" s="534"/>
      <c r="D20" s="535"/>
      <c r="E20" s="536"/>
      <c r="F20" s="536"/>
      <c r="G20" s="536"/>
      <c r="H20" s="535"/>
      <c r="I20" s="537"/>
      <c r="J20" s="538"/>
      <c r="K20" s="539"/>
      <c r="L20" s="490"/>
      <c r="M20" s="535"/>
      <c r="N20" s="398"/>
      <c r="P20" s="575"/>
      <c r="R20" s="582"/>
    </row>
    <row r="21" spans="1:18" ht="18" customHeight="1">
      <c r="A21" s="551" t="s">
        <v>228</v>
      </c>
      <c r="B21" s="552"/>
      <c r="C21" s="525" t="s">
        <v>216</v>
      </c>
      <c r="D21" s="526">
        <v>3845279</v>
      </c>
      <c r="E21" s="527">
        <v>16800.7</v>
      </c>
      <c r="F21" s="527">
        <v>410</v>
      </c>
      <c r="G21" s="527">
        <v>309.7</v>
      </c>
      <c r="H21" s="526">
        <f>D21/G21</f>
        <v>12416.141427187602</v>
      </c>
      <c r="I21" s="529" t="s">
        <v>185</v>
      </c>
      <c r="J21" s="594">
        <f>4250+E21*5.5+G21*130</f>
        <v>136914.85</v>
      </c>
      <c r="K21" s="531"/>
      <c r="L21" s="490"/>
      <c r="M21" s="526">
        <v>4054916</v>
      </c>
      <c r="N21" s="364">
        <f>D21-M21</f>
        <v>-209637</v>
      </c>
      <c r="P21" s="574">
        <v>16800.7</v>
      </c>
      <c r="Q21" s="580">
        <f t="shared" si="1"/>
        <v>0</v>
      </c>
      <c r="R21" s="584"/>
    </row>
    <row r="22" spans="1:18" ht="18" customHeight="1">
      <c r="A22" s="532" t="s">
        <v>77</v>
      </c>
      <c r="B22" s="533"/>
      <c r="C22" s="534"/>
      <c r="D22" s="535"/>
      <c r="E22" s="536"/>
      <c r="F22" s="536"/>
      <c r="G22" s="536"/>
      <c r="H22" s="535"/>
      <c r="I22" s="537"/>
      <c r="J22" s="538"/>
      <c r="K22" s="539"/>
      <c r="L22" s="490"/>
      <c r="M22" s="535"/>
      <c r="N22" s="535"/>
      <c r="P22" s="575"/>
      <c r="R22" s="584"/>
    </row>
    <row r="23" spans="1:18" ht="18" customHeight="1">
      <c r="A23" s="503" t="s">
        <v>229</v>
      </c>
      <c r="B23" s="504"/>
      <c r="C23" s="505" t="s">
        <v>151</v>
      </c>
      <c r="D23" s="506">
        <v>537410</v>
      </c>
      <c r="E23" s="507">
        <v>10024</v>
      </c>
      <c r="F23" s="507">
        <v>12.6</v>
      </c>
      <c r="G23" s="507">
        <v>37.049999999999997</v>
      </c>
      <c r="H23" s="506">
        <f>D23/G23</f>
        <v>14504.993252361675</v>
      </c>
      <c r="I23" s="508" t="s">
        <v>185</v>
      </c>
      <c r="J23" s="524">
        <f>(G23*130)+4250+(5.5*E23)</f>
        <v>64198.5</v>
      </c>
      <c r="K23" s="510"/>
      <c r="L23" s="490"/>
      <c r="M23" s="506">
        <v>2014988</v>
      </c>
      <c r="N23" s="506">
        <f>D23-M23</f>
        <v>-1477578</v>
      </c>
      <c r="P23" s="571">
        <v>10024</v>
      </c>
      <c r="Q23" s="580">
        <f t="shared" si="1"/>
        <v>0</v>
      </c>
      <c r="R23" s="584"/>
    </row>
    <row r="24" spans="1:18" ht="18" customHeight="1" thickBot="1">
      <c r="A24" s="503">
        <v>52</v>
      </c>
      <c r="B24" s="504"/>
      <c r="C24" s="505" t="s">
        <v>244</v>
      </c>
      <c r="D24" s="540">
        <v>2621475</v>
      </c>
      <c r="E24" s="541">
        <v>1742</v>
      </c>
      <c r="F24" s="541">
        <v>160.41999999999999</v>
      </c>
      <c r="G24" s="541">
        <v>314.66000000000003</v>
      </c>
      <c r="H24" s="540">
        <f>D24/G24</f>
        <v>8331.1351935422354</v>
      </c>
      <c r="I24" s="553" t="s">
        <v>185</v>
      </c>
      <c r="J24" s="544">
        <f>(G24*130)+4250+(5.5*E24)</f>
        <v>54736.800000000003</v>
      </c>
      <c r="K24" s="554"/>
      <c r="L24" s="490"/>
      <c r="M24" s="540">
        <v>1063774</v>
      </c>
      <c r="N24" s="540">
        <f>D24-M24</f>
        <v>1557701</v>
      </c>
      <c r="P24" s="576">
        <v>1742</v>
      </c>
      <c r="Q24" s="580">
        <f t="shared" si="1"/>
        <v>0</v>
      </c>
      <c r="R24" s="584"/>
    </row>
    <row r="25" spans="1:18" ht="18" customHeight="1" thickTop="1">
      <c r="A25" s="503"/>
      <c r="B25" s="504"/>
      <c r="C25" s="585" t="s">
        <v>247</v>
      </c>
      <c r="D25" s="586">
        <f>SUM(D23:D24)</f>
        <v>3158885</v>
      </c>
      <c r="E25" s="587">
        <f>SUM(E23:E24)</f>
        <v>11766</v>
      </c>
      <c r="F25" s="587">
        <f>SUM(F23:F24)</f>
        <v>173.01999999999998</v>
      </c>
      <c r="G25" s="587">
        <f>SUM(G23:G24)</f>
        <v>351.71000000000004</v>
      </c>
      <c r="H25" s="586">
        <f>SUM(H23:H24)</f>
        <v>22836.128445903909</v>
      </c>
      <c r="I25" s="508" t="s">
        <v>185</v>
      </c>
      <c r="J25" s="569">
        <f>SUM(J23:J24)</f>
        <v>118935.3</v>
      </c>
      <c r="K25" s="510"/>
      <c r="L25" s="490"/>
      <c r="M25" s="586">
        <f>SUM(M23:M24)</f>
        <v>3078762</v>
      </c>
      <c r="N25" s="506">
        <f>SUM(N23:N24)</f>
        <v>80123</v>
      </c>
      <c r="P25" s="571">
        <f>SUM(P23:P24)</f>
        <v>11766</v>
      </c>
      <c r="R25" s="582"/>
    </row>
    <row r="26" spans="1:18" ht="18" customHeight="1">
      <c r="A26" s="532" t="s">
        <v>78</v>
      </c>
      <c r="B26" s="533"/>
      <c r="C26" s="534"/>
      <c r="D26" s="535"/>
      <c r="E26" s="536"/>
      <c r="F26" s="536"/>
      <c r="G26" s="536"/>
      <c r="H26" s="535"/>
      <c r="I26" s="537"/>
      <c r="J26" s="538"/>
      <c r="K26" s="539"/>
      <c r="L26" s="490"/>
      <c r="M26" s="535"/>
      <c r="N26" s="398"/>
      <c r="P26" s="575"/>
      <c r="R26" s="582"/>
    </row>
    <row r="27" spans="1:18" ht="18" customHeight="1">
      <c r="A27" s="503" t="s">
        <v>230</v>
      </c>
      <c r="B27" s="504"/>
      <c r="C27" s="505" t="s">
        <v>134</v>
      </c>
      <c r="D27" s="506">
        <v>0</v>
      </c>
      <c r="E27" s="507">
        <v>6385.5</v>
      </c>
      <c r="F27" s="507">
        <v>0</v>
      </c>
      <c r="G27" s="507">
        <v>0</v>
      </c>
      <c r="H27" s="506">
        <v>0</v>
      </c>
      <c r="I27" s="508" t="s">
        <v>185</v>
      </c>
      <c r="J27" s="524">
        <f>ROUNDUP((G27*130)+4250+5.5*E27,2)</f>
        <v>39370.25</v>
      </c>
      <c r="K27" s="510"/>
      <c r="L27" s="490"/>
      <c r="M27" s="506">
        <v>0</v>
      </c>
      <c r="N27" s="360">
        <f>D27-M27</f>
        <v>0</v>
      </c>
      <c r="P27" s="571">
        <v>6385.5</v>
      </c>
      <c r="Q27" s="580">
        <f t="shared" si="1"/>
        <v>0</v>
      </c>
      <c r="R27" s="582"/>
    </row>
    <row r="28" spans="1:18" ht="18" customHeight="1" thickBot="1">
      <c r="A28" s="503" t="s">
        <v>231</v>
      </c>
      <c r="B28" s="504"/>
      <c r="C28" s="505" t="s">
        <v>178</v>
      </c>
      <c r="D28" s="540">
        <v>0</v>
      </c>
      <c r="E28" s="541">
        <v>2257</v>
      </c>
      <c r="F28" s="541">
        <v>0</v>
      </c>
      <c r="G28" s="541">
        <v>0</v>
      </c>
      <c r="H28" s="540">
        <v>0</v>
      </c>
      <c r="I28" s="553" t="s">
        <v>185</v>
      </c>
      <c r="J28" s="544">
        <f>(G28*130)+4250+5.5*E28</f>
        <v>16663.5</v>
      </c>
      <c r="K28" s="554"/>
      <c r="L28" s="490"/>
      <c r="M28" s="540">
        <v>0</v>
      </c>
      <c r="N28" s="361">
        <f>D28-M28</f>
        <v>0</v>
      </c>
      <c r="P28" s="576">
        <v>2257</v>
      </c>
      <c r="Q28" s="580">
        <f t="shared" si="1"/>
        <v>0</v>
      </c>
    </row>
    <row r="29" spans="1:18" ht="18" customHeight="1" thickTop="1">
      <c r="A29" s="514"/>
      <c r="B29" s="515"/>
      <c r="C29" s="516" t="s">
        <v>168</v>
      </c>
      <c r="D29" s="546">
        <f>SUM(D27:D28)</f>
        <v>0</v>
      </c>
      <c r="E29" s="547">
        <f>SUM(E27:E28)</f>
        <v>8642.5</v>
      </c>
      <c r="F29" s="547">
        <f>SUM(F27:F28)</f>
        <v>0</v>
      </c>
      <c r="G29" s="547">
        <f>SUM(G27:G28)</f>
        <v>0</v>
      </c>
      <c r="H29" s="546">
        <v>0</v>
      </c>
      <c r="I29" s="548" t="s">
        <v>185</v>
      </c>
      <c r="J29" s="558">
        <f>SUM(J27:J28)</f>
        <v>56033.75</v>
      </c>
      <c r="K29" s="550"/>
      <c r="L29" s="490"/>
      <c r="M29" s="546">
        <f>SUM(M27:M28)</f>
        <v>0</v>
      </c>
      <c r="N29" s="388">
        <f>D29-M29</f>
        <v>0</v>
      </c>
      <c r="P29" s="574">
        <f>SUM(P27:P28)</f>
        <v>8642.5</v>
      </c>
    </row>
    <row r="30" spans="1:18" ht="18" customHeight="1">
      <c r="A30" s="532" t="s">
        <v>219</v>
      </c>
      <c r="B30" s="533"/>
      <c r="C30" s="534"/>
      <c r="D30" s="535"/>
      <c r="E30" s="536"/>
      <c r="F30" s="536"/>
      <c r="G30" s="536"/>
      <c r="H30" s="535"/>
      <c r="I30" s="537"/>
      <c r="J30" s="538"/>
      <c r="K30" s="539"/>
      <c r="L30" s="490"/>
      <c r="M30" s="535"/>
      <c r="N30" s="398"/>
      <c r="P30" s="575"/>
    </row>
    <row r="31" spans="1:18" ht="18" customHeight="1">
      <c r="A31" s="503" t="s">
        <v>241</v>
      </c>
      <c r="B31" s="504"/>
      <c r="C31" s="505" t="s">
        <v>136</v>
      </c>
      <c r="D31" s="506">
        <v>3269696</v>
      </c>
      <c r="E31" s="507">
        <v>7299</v>
      </c>
      <c r="F31" s="507">
        <v>202</v>
      </c>
      <c r="G31" s="507">
        <v>163.30000000000001</v>
      </c>
      <c r="H31" s="506">
        <f>D31/G31</f>
        <v>20022.633190447028</v>
      </c>
      <c r="I31" s="508" t="s">
        <v>185</v>
      </c>
      <c r="J31" s="524">
        <f>(G31*130)+4250+5.5*E31</f>
        <v>65623.5</v>
      </c>
      <c r="K31" s="510"/>
      <c r="L31" s="490"/>
      <c r="M31" s="506">
        <v>3608723</v>
      </c>
      <c r="N31" s="360">
        <f t="shared" ref="N31:N36" si="2">D31-M31</f>
        <v>-339027</v>
      </c>
      <c r="P31" s="571">
        <v>7299</v>
      </c>
      <c r="Q31" s="580">
        <f t="shared" si="1"/>
        <v>0</v>
      </c>
    </row>
    <row r="32" spans="1:18" ht="18" customHeight="1">
      <c r="A32" s="503" t="s">
        <v>233</v>
      </c>
      <c r="B32" s="504"/>
      <c r="C32" s="505" t="s">
        <v>143</v>
      </c>
      <c r="D32" s="506">
        <v>5319321</v>
      </c>
      <c r="E32" s="507">
        <v>18297</v>
      </c>
      <c r="F32" s="507">
        <v>232</v>
      </c>
      <c r="G32" s="507">
        <v>441</v>
      </c>
      <c r="H32" s="506">
        <f t="shared" ref="H32:H37" si="3">D32/G32</f>
        <v>12061.952380952382</v>
      </c>
      <c r="I32" s="508" t="s">
        <v>185</v>
      </c>
      <c r="J32" s="524">
        <f t="shared" ref="J32:J37" si="4">(G32*130)+4250+5.5*E32</f>
        <v>162213.5</v>
      </c>
      <c r="K32" s="510"/>
      <c r="L32" s="490"/>
      <c r="M32" s="506">
        <v>7146063</v>
      </c>
      <c r="N32" s="360">
        <f t="shared" si="2"/>
        <v>-1826742</v>
      </c>
      <c r="P32" s="571">
        <v>18297</v>
      </c>
      <c r="Q32" s="580">
        <f t="shared" si="1"/>
        <v>0</v>
      </c>
    </row>
    <row r="33" spans="1:18" ht="18" customHeight="1">
      <c r="A33" s="503" t="s">
        <v>234</v>
      </c>
      <c r="B33" s="504"/>
      <c r="C33" s="505" t="s">
        <v>137</v>
      </c>
      <c r="D33" s="506">
        <v>4976297</v>
      </c>
      <c r="E33" s="507">
        <v>20039</v>
      </c>
      <c r="F33" s="507">
        <v>544.9</v>
      </c>
      <c r="G33" s="507">
        <v>471</v>
      </c>
      <c r="H33" s="506">
        <f t="shared" si="3"/>
        <v>10565.386411889596</v>
      </c>
      <c r="I33" s="508" t="s">
        <v>185</v>
      </c>
      <c r="J33" s="524">
        <f t="shared" si="4"/>
        <v>175694.5</v>
      </c>
      <c r="K33" s="510"/>
      <c r="L33" s="490"/>
      <c r="M33" s="506">
        <v>4311076</v>
      </c>
      <c r="N33" s="360">
        <f t="shared" si="2"/>
        <v>665221</v>
      </c>
      <c r="P33" s="571">
        <v>20039</v>
      </c>
      <c r="Q33" s="580">
        <f t="shared" si="1"/>
        <v>0</v>
      </c>
    </row>
    <row r="34" spans="1:18" ht="18" customHeight="1">
      <c r="A34" s="503" t="s">
        <v>235</v>
      </c>
      <c r="B34" s="504"/>
      <c r="C34" s="505" t="s">
        <v>155</v>
      </c>
      <c r="D34" s="506">
        <v>739879</v>
      </c>
      <c r="E34" s="507">
        <v>16867</v>
      </c>
      <c r="F34" s="507">
        <v>27</v>
      </c>
      <c r="G34" s="507">
        <v>40</v>
      </c>
      <c r="H34" s="506">
        <f t="shared" si="3"/>
        <v>18496.974999999999</v>
      </c>
      <c r="I34" s="508" t="s">
        <v>185</v>
      </c>
      <c r="J34" s="524">
        <f t="shared" si="4"/>
        <v>102218.5</v>
      </c>
      <c r="K34" s="510"/>
      <c r="L34" s="490"/>
      <c r="M34" s="506">
        <v>3019319</v>
      </c>
      <c r="N34" s="360">
        <f t="shared" si="2"/>
        <v>-2279440</v>
      </c>
      <c r="P34" s="571">
        <v>16867</v>
      </c>
      <c r="Q34" s="580">
        <f t="shared" si="1"/>
        <v>0</v>
      </c>
    </row>
    <row r="35" spans="1:18" ht="18" customHeight="1">
      <c r="A35" s="503" t="s">
        <v>236</v>
      </c>
      <c r="B35" s="504"/>
      <c r="C35" s="505" t="s">
        <v>239</v>
      </c>
      <c r="D35" s="506">
        <v>1801040</v>
      </c>
      <c r="E35" s="507">
        <v>2831</v>
      </c>
      <c r="F35" s="507">
        <v>32.5</v>
      </c>
      <c r="G35" s="507">
        <v>66.099999999999994</v>
      </c>
      <c r="H35" s="506">
        <f t="shared" si="3"/>
        <v>27247.201210287447</v>
      </c>
      <c r="I35" s="508" t="s">
        <v>185</v>
      </c>
      <c r="J35" s="524">
        <f t="shared" si="4"/>
        <v>28413.5</v>
      </c>
      <c r="K35" s="510"/>
      <c r="L35" s="490"/>
      <c r="M35" s="506">
        <v>1764648</v>
      </c>
      <c r="N35" s="360">
        <f t="shared" si="2"/>
        <v>36392</v>
      </c>
      <c r="P35" s="571">
        <v>2831</v>
      </c>
      <c r="Q35" s="580">
        <f t="shared" si="1"/>
        <v>0</v>
      </c>
    </row>
    <row r="36" spans="1:18" ht="18" customHeight="1">
      <c r="A36" s="503">
        <v>49</v>
      </c>
      <c r="B36" s="504"/>
      <c r="C36" s="505" t="s">
        <v>183</v>
      </c>
      <c r="D36" s="506">
        <v>0</v>
      </c>
      <c r="E36" s="507">
        <v>405</v>
      </c>
      <c r="F36" s="507">
        <v>0</v>
      </c>
      <c r="G36" s="507">
        <v>0</v>
      </c>
      <c r="H36" s="506">
        <v>0</v>
      </c>
      <c r="I36" s="508" t="s">
        <v>185</v>
      </c>
      <c r="J36" s="524">
        <f t="shared" si="4"/>
        <v>6477.5</v>
      </c>
      <c r="K36" s="510"/>
      <c r="L36" s="490"/>
      <c r="M36" s="506">
        <v>0</v>
      </c>
      <c r="N36" s="360">
        <f t="shared" si="2"/>
        <v>0</v>
      </c>
      <c r="P36" s="571">
        <v>405</v>
      </c>
      <c r="Q36" s="580">
        <f t="shared" si="1"/>
        <v>0</v>
      </c>
    </row>
    <row r="37" spans="1:18" ht="18" customHeight="1">
      <c r="A37" s="503">
        <v>50</v>
      </c>
      <c r="B37" s="504"/>
      <c r="C37" s="505" t="s">
        <v>217</v>
      </c>
      <c r="D37" s="506">
        <v>1286433</v>
      </c>
      <c r="E37" s="507">
        <v>4839</v>
      </c>
      <c r="F37" s="507">
        <v>168.3</v>
      </c>
      <c r="G37" s="507">
        <v>83.7</v>
      </c>
      <c r="H37" s="506">
        <f t="shared" si="3"/>
        <v>15369.569892473117</v>
      </c>
      <c r="I37" s="508" t="s">
        <v>185</v>
      </c>
      <c r="J37" s="524">
        <f t="shared" si="4"/>
        <v>41745.5</v>
      </c>
      <c r="K37" s="510"/>
      <c r="L37" s="490"/>
      <c r="M37" s="506">
        <v>802074</v>
      </c>
      <c r="N37" s="360">
        <f>D37-M37</f>
        <v>484359</v>
      </c>
      <c r="P37" s="571">
        <v>4839</v>
      </c>
      <c r="Q37" s="580">
        <f t="shared" si="1"/>
        <v>0</v>
      </c>
    </row>
    <row r="38" spans="1:18" ht="18" customHeight="1">
      <c r="A38" s="503">
        <v>51</v>
      </c>
      <c r="B38" s="504"/>
      <c r="C38" s="505" t="s">
        <v>242</v>
      </c>
      <c r="D38" s="506">
        <v>0</v>
      </c>
      <c r="E38" s="507">
        <v>4314</v>
      </c>
      <c r="F38" s="507">
        <v>0</v>
      </c>
      <c r="G38" s="507">
        <v>0</v>
      </c>
      <c r="H38" s="506">
        <v>0</v>
      </c>
      <c r="I38" s="508" t="s">
        <v>185</v>
      </c>
      <c r="J38" s="524">
        <f>(G38*130)+4250+5.5*E38</f>
        <v>27977</v>
      </c>
      <c r="K38" s="510"/>
      <c r="L38" s="490"/>
      <c r="M38" s="506">
        <v>0</v>
      </c>
      <c r="N38" s="360">
        <f>D38-M38</f>
        <v>0</v>
      </c>
      <c r="P38" s="571">
        <v>4314</v>
      </c>
      <c r="Q38" s="580">
        <f t="shared" si="1"/>
        <v>0</v>
      </c>
    </row>
    <row r="39" spans="1:18" ht="18" customHeight="1" thickBot="1">
      <c r="A39" s="503">
        <v>53</v>
      </c>
      <c r="B39" s="504"/>
      <c r="C39" s="505" t="s">
        <v>250</v>
      </c>
      <c r="D39" s="506">
        <v>1000525</v>
      </c>
      <c r="E39" s="507">
        <v>2307</v>
      </c>
      <c r="F39" s="507">
        <v>294</v>
      </c>
      <c r="G39" s="541">
        <v>108</v>
      </c>
      <c r="H39" s="559">
        <f>D39/G39</f>
        <v>9264.1203703703704</v>
      </c>
      <c r="I39" s="553" t="s">
        <v>185</v>
      </c>
      <c r="J39" s="544">
        <f>(G39*130)+4250+5.5*E39</f>
        <v>30978.5</v>
      </c>
      <c r="K39" s="554"/>
      <c r="L39" s="490"/>
      <c r="M39" s="506">
        <v>0</v>
      </c>
      <c r="N39" s="412">
        <f>D39-M39</f>
        <v>1000525</v>
      </c>
      <c r="P39" s="576">
        <v>2307</v>
      </c>
      <c r="Q39" s="580">
        <f t="shared" si="1"/>
        <v>0</v>
      </c>
    </row>
    <row r="40" spans="1:18" ht="18" customHeight="1" thickTop="1">
      <c r="A40" s="514"/>
      <c r="B40" s="515"/>
      <c r="C40" s="516" t="s">
        <v>221</v>
      </c>
      <c r="D40" s="560">
        <f>SUM(D31:D39)</f>
        <v>18393191</v>
      </c>
      <c r="E40" s="561">
        <f>SUM(E31:E39)</f>
        <v>77198</v>
      </c>
      <c r="F40" s="561">
        <f>SUM(F31:F39)</f>
        <v>1500.7</v>
      </c>
      <c r="G40" s="547">
        <f>SUM(G31:G39)</f>
        <v>1373.1</v>
      </c>
      <c r="H40" s="546">
        <f>D40/G40</f>
        <v>13395.376156143035</v>
      </c>
      <c r="I40" s="548" t="s">
        <v>185</v>
      </c>
      <c r="J40" s="549">
        <f>SUM(J31:J39)</f>
        <v>641342</v>
      </c>
      <c r="K40" s="550"/>
      <c r="L40" s="490"/>
      <c r="M40" s="560">
        <f>SUM(M31:M39)</f>
        <v>20651903</v>
      </c>
      <c r="N40" s="385">
        <f>D40-M40</f>
        <v>-2258712</v>
      </c>
      <c r="P40" s="590">
        <f>SUM(P31:P39)</f>
        <v>77198</v>
      </c>
    </row>
    <row r="41" spans="1:18" ht="18" customHeight="1">
      <c r="A41" s="532" t="s">
        <v>86</v>
      </c>
      <c r="B41" s="533"/>
      <c r="C41" s="534"/>
      <c r="D41" s="506"/>
      <c r="E41" s="507"/>
      <c r="F41" s="507"/>
      <c r="G41" s="536"/>
      <c r="H41" s="535"/>
      <c r="I41" s="537"/>
      <c r="J41" s="538"/>
      <c r="K41" s="539"/>
      <c r="L41" s="490"/>
      <c r="M41" s="506"/>
      <c r="N41" s="360"/>
      <c r="P41" s="575"/>
    </row>
    <row r="42" spans="1:18" ht="18" customHeight="1" thickBot="1">
      <c r="A42" s="562" t="s">
        <v>252</v>
      </c>
      <c r="B42" s="563"/>
      <c r="C42" s="564" t="s">
        <v>139</v>
      </c>
      <c r="D42" s="540">
        <v>1724612</v>
      </c>
      <c r="E42" s="541">
        <v>3885</v>
      </c>
      <c r="F42" s="541">
        <v>137.69999999999999</v>
      </c>
      <c r="G42" s="541">
        <v>122.3</v>
      </c>
      <c r="H42" s="540">
        <f>D42/G42</f>
        <v>14101.488143908422</v>
      </c>
      <c r="I42" s="553" t="s">
        <v>185</v>
      </c>
      <c r="J42" s="595">
        <f>(G42*130)+4250+5.5*E42</f>
        <v>41516.5</v>
      </c>
      <c r="K42" s="554"/>
      <c r="L42" s="490"/>
      <c r="M42" s="540">
        <v>2121961</v>
      </c>
      <c r="N42" s="361">
        <f>D42-M42</f>
        <v>-397349</v>
      </c>
      <c r="P42" s="576">
        <v>3885</v>
      </c>
      <c r="Q42" s="580">
        <f t="shared" si="1"/>
        <v>0</v>
      </c>
      <c r="R42" s="584"/>
    </row>
    <row r="43" spans="1:18" ht="27.75" customHeight="1" thickTop="1" thickBot="1">
      <c r="A43" s="2060" t="s">
        <v>44</v>
      </c>
      <c r="B43" s="2061"/>
      <c r="C43" s="2062"/>
      <c r="D43" s="565">
        <f>SUM(D6,D8,D13,D15,D19,D21,D25,D29,D40,D42)</f>
        <v>37099067</v>
      </c>
      <c r="E43" s="566">
        <f>SUM(E6,E8,E13,E15,E19,E21,E25,E29,E40,E42)</f>
        <v>175741.7</v>
      </c>
      <c r="F43" s="566">
        <f>SUM(F6,F8,F13,F15,F19,F21,F25,F29,F40,F42)</f>
        <v>2905.5199999999995</v>
      </c>
      <c r="G43" s="566">
        <f>SUM(G6,G8,G13,G15,G19,G21,G25,G29,G40,G42)</f>
        <v>2688.01</v>
      </c>
      <c r="H43" s="565">
        <f>D43/G43</f>
        <v>13801.684889565142</v>
      </c>
      <c r="I43" s="567" t="s">
        <v>185</v>
      </c>
      <c r="J43" s="492">
        <f>(J6+J8+J13+J15+J19+J21+J25+J29+J40+J42)</f>
        <v>1418020.65</v>
      </c>
      <c r="K43" s="568"/>
      <c r="M43" s="593">
        <f>SUM(M6,M8,M13,M15,M19,M21,M25,M29,M40,M42)</f>
        <v>40152112</v>
      </c>
      <c r="N43" s="592">
        <f>D43-M43</f>
        <v>-3053045</v>
      </c>
      <c r="O43" s="485">
        <f>N43/M43</f>
        <v>-7.6036971604382858E-2</v>
      </c>
      <c r="P43" s="577">
        <f>SUM(P6,P8,P13,P15,P19,P21,P25,P29,P40,P42)</f>
        <v>175741.7</v>
      </c>
      <c r="Q43" s="580">
        <f t="shared" si="1"/>
        <v>0</v>
      </c>
      <c r="R43" s="485">
        <f>Q43/P43</f>
        <v>0</v>
      </c>
    </row>
    <row r="44" spans="1:18" ht="18" customHeight="1">
      <c r="G44" s="391"/>
      <c r="H44" s="401"/>
      <c r="I44" s="417"/>
      <c r="K44" s="417"/>
      <c r="P44" s="578"/>
    </row>
    <row r="46" spans="1:18" ht="18" customHeight="1">
      <c r="G46" s="389">
        <f>G43-'SUM2008'!G42</f>
        <v>-28.6899999999996</v>
      </c>
      <c r="J46" s="491">
        <f>J43-R21-R42</f>
        <v>1418020.65</v>
      </c>
      <c r="N46" s="485">
        <f>N40/N43</f>
        <v>0.73982270159791286</v>
      </c>
    </row>
    <row r="47" spans="1:18" ht="18" customHeight="1">
      <c r="F47" s="484"/>
      <c r="G47" s="591">
        <f>G46/'SUM2007'!G39</f>
        <v>-1.0802364546857787E-2</v>
      </c>
      <c r="J47" s="491">
        <f>J46-J43</f>
        <v>0</v>
      </c>
    </row>
  </sheetData>
  <mergeCells count="15">
    <mergeCell ref="P1:P2"/>
    <mergeCell ref="Q1:Q2"/>
    <mergeCell ref="A43:C43"/>
    <mergeCell ref="J1:J2"/>
    <mergeCell ref="K1:K2"/>
    <mergeCell ref="M1:M2"/>
    <mergeCell ref="N1:N2"/>
    <mergeCell ref="F1:F2"/>
    <mergeCell ref="G1:G2"/>
    <mergeCell ref="H1:H2"/>
    <mergeCell ref="I1:I2"/>
    <mergeCell ref="A1:A2"/>
    <mergeCell ref="C1:C2"/>
    <mergeCell ref="D1:D2"/>
    <mergeCell ref="E1:E2"/>
  </mergeCells>
  <phoneticPr fontId="0" type="noConversion"/>
  <pageMargins left="0.23" right="0.21" top="1.75" bottom="0.67" header="1.25" footer="0.5"/>
  <pageSetup scale="62" orientation="portrait" r:id="rId1"/>
  <headerFooter alignWithMargins="0">
    <oddHeader>&amp;C&amp;"Arial,Bold"&amp;14 &amp;18 2009 Annual Coal Production Report and Fee Payment Summary</oddHeader>
    <oddFooter>&amp;L&amp;11&amp;D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R46"/>
  <sheetViews>
    <sheetView zoomScale="70" workbookViewId="0">
      <pane xSplit="3" ySplit="2" topLeftCell="D12" activePane="bottomRight" state="frozen"/>
      <selection activeCell="E51" sqref="E51"/>
      <selection pane="topRight" activeCell="E51" sqref="E51"/>
      <selection pane="bottomLeft" activeCell="E51" sqref="E51"/>
      <selection pane="bottomRight" activeCell="E51" sqref="E51"/>
    </sheetView>
  </sheetViews>
  <sheetFormatPr defaultColWidth="9.140625" defaultRowHeight="18" customHeight="1"/>
  <cols>
    <col min="1" max="1" width="15.140625" style="178" customWidth="1"/>
    <col min="2" max="2" width="1.85546875" style="178" customWidth="1"/>
    <col min="3" max="3" width="29.42578125" style="178" customWidth="1"/>
    <col min="4" max="4" width="19.7109375" style="402" customWidth="1"/>
    <col min="5" max="6" width="18.85546875" style="389" customWidth="1"/>
    <col min="7" max="7" width="19.42578125" style="389" customWidth="1"/>
    <col min="8" max="8" width="21.42578125" style="402" customWidth="1"/>
    <col min="9" max="9" width="3.28515625" style="418" customWidth="1"/>
    <col min="10" max="10" width="16.42578125" style="491" customWidth="1"/>
    <col min="11" max="11" width="3.5703125" style="418" customWidth="1"/>
    <col min="12" max="12" width="5.85546875" style="178" customWidth="1"/>
    <col min="13" max="13" width="18.85546875" style="483" customWidth="1"/>
    <col min="14" max="14" width="17" style="337" customWidth="1"/>
    <col min="15" max="15" width="7.28515625" style="337" customWidth="1"/>
    <col min="16" max="16" width="17.7109375" style="579" customWidth="1"/>
    <col min="17" max="17" width="8.7109375" style="580" customWidth="1"/>
    <col min="18" max="18" width="8.7109375" style="337" customWidth="1"/>
    <col min="19" max="16384" width="9.140625" style="337"/>
  </cols>
  <sheetData>
    <row r="1" spans="1:17" s="482" customFormat="1" ht="18" customHeight="1">
      <c r="A1" s="2072" t="s">
        <v>6</v>
      </c>
      <c r="B1" s="493"/>
      <c r="C1" s="2074" t="s">
        <v>162</v>
      </c>
      <c r="D1" s="2068" t="s">
        <v>243</v>
      </c>
      <c r="E1" s="2065" t="s">
        <v>190</v>
      </c>
      <c r="F1" s="2065" t="s">
        <v>187</v>
      </c>
      <c r="G1" s="2065" t="s">
        <v>186</v>
      </c>
      <c r="H1" s="2068" t="s">
        <v>238</v>
      </c>
      <c r="I1" s="2070" t="s">
        <v>184</v>
      </c>
      <c r="J1" s="2063" t="s">
        <v>164</v>
      </c>
      <c r="K1" s="2045" t="s">
        <v>184</v>
      </c>
      <c r="L1" s="488"/>
      <c r="M1" s="2077" t="s">
        <v>220</v>
      </c>
      <c r="N1" s="2077" t="s">
        <v>208</v>
      </c>
      <c r="P1" s="2058" t="s">
        <v>245</v>
      </c>
      <c r="Q1" s="2044"/>
    </row>
    <row r="2" spans="1:17" s="482" customFormat="1" ht="22.5" customHeight="1" thickBot="1">
      <c r="A2" s="2073"/>
      <c r="B2" s="494"/>
      <c r="C2" s="2075"/>
      <c r="D2" s="2076"/>
      <c r="E2" s="2066"/>
      <c r="F2" s="2066"/>
      <c r="G2" s="2067"/>
      <c r="H2" s="2069"/>
      <c r="I2" s="2071"/>
      <c r="J2" s="2064"/>
      <c r="K2" s="2046"/>
      <c r="L2" s="488"/>
      <c r="M2" s="2078"/>
      <c r="N2" s="2078"/>
      <c r="P2" s="2059"/>
      <c r="Q2" s="2044"/>
    </row>
    <row r="3" spans="1:17" ht="18" customHeight="1">
      <c r="A3" s="495" t="s">
        <v>110</v>
      </c>
      <c r="B3" s="496"/>
      <c r="C3" s="497"/>
      <c r="D3" s="498"/>
      <c r="E3" s="499"/>
      <c r="F3" s="499"/>
      <c r="G3" s="499"/>
      <c r="H3" s="498"/>
      <c r="I3" s="500"/>
      <c r="J3" s="501"/>
      <c r="K3" s="502"/>
      <c r="L3" s="489"/>
      <c r="M3" s="397"/>
      <c r="N3" s="397"/>
      <c r="P3" s="570"/>
    </row>
    <row r="4" spans="1:17" ht="18" customHeight="1">
      <c r="A4" s="503" t="s">
        <v>222</v>
      </c>
      <c r="B4" s="504"/>
      <c r="C4" s="505" t="s">
        <v>125</v>
      </c>
      <c r="D4" s="506">
        <v>0</v>
      </c>
      <c r="E4" s="507">
        <v>17413</v>
      </c>
      <c r="F4" s="507">
        <v>0</v>
      </c>
      <c r="G4" s="507">
        <v>0</v>
      </c>
      <c r="H4" s="506">
        <v>0</v>
      </c>
      <c r="I4" s="508" t="s">
        <v>185</v>
      </c>
      <c r="J4" s="509">
        <f>(G4*150)+4200+(3.75*E4)</f>
        <v>69498.75</v>
      </c>
      <c r="K4" s="510"/>
      <c r="L4" s="490"/>
      <c r="M4" s="360">
        <v>0</v>
      </c>
      <c r="N4" s="360">
        <f>D4-M4</f>
        <v>0</v>
      </c>
      <c r="P4" s="571">
        <v>17413</v>
      </c>
      <c r="Q4" s="580">
        <f>E4-P4</f>
        <v>0</v>
      </c>
    </row>
    <row r="5" spans="1:17" ht="18" customHeight="1" thickBot="1">
      <c r="A5" s="503">
        <v>48</v>
      </c>
      <c r="B5" s="504"/>
      <c r="C5" s="505" t="s">
        <v>165</v>
      </c>
      <c r="D5" s="511">
        <v>3754012</v>
      </c>
      <c r="E5" s="512">
        <v>15316</v>
      </c>
      <c r="F5" s="512">
        <v>219</v>
      </c>
      <c r="G5" s="512">
        <v>125</v>
      </c>
      <c r="H5" s="513">
        <f>D5/G5</f>
        <v>30032.096000000001</v>
      </c>
      <c r="I5" s="508" t="s">
        <v>185</v>
      </c>
      <c r="J5" s="509">
        <f>(G5*150)+4200+(3.75*E5)</f>
        <v>80385</v>
      </c>
      <c r="K5" s="510"/>
      <c r="L5" s="490"/>
      <c r="M5" s="437">
        <f>'SUM2007'!D5</f>
        <v>4284599</v>
      </c>
      <c r="N5" s="437">
        <f>D5-M5</f>
        <v>-530587</v>
      </c>
      <c r="P5" s="572">
        <v>15316</v>
      </c>
      <c r="Q5" s="580">
        <f t="shared" ref="Q5:Q12" si="0">E5-P5</f>
        <v>0</v>
      </c>
    </row>
    <row r="6" spans="1:17" ht="18" customHeight="1" thickTop="1">
      <c r="A6" s="514"/>
      <c r="B6" s="515"/>
      <c r="C6" s="516" t="s">
        <v>166</v>
      </c>
      <c r="D6" s="517">
        <f>SUM(D4:D5)</f>
        <v>3754012</v>
      </c>
      <c r="E6" s="518">
        <f>SUM(E4:E5)</f>
        <v>32729</v>
      </c>
      <c r="F6" s="518">
        <f>SUM(F4:F5)</f>
        <v>219</v>
      </c>
      <c r="G6" s="518">
        <f>SUM(G4:G5)</f>
        <v>125</v>
      </c>
      <c r="H6" s="517">
        <f>D6/G6</f>
        <v>30032.096000000001</v>
      </c>
      <c r="I6" s="519" t="s">
        <v>185</v>
      </c>
      <c r="J6" s="520">
        <f>SUM(J4,J5)</f>
        <v>149883.75</v>
      </c>
      <c r="K6" s="521"/>
      <c r="L6" s="490"/>
      <c r="M6" s="438">
        <f>SUM(M4:M5)</f>
        <v>4284599</v>
      </c>
      <c r="N6" s="438">
        <f>D6-M6</f>
        <v>-530587</v>
      </c>
      <c r="P6" s="573">
        <f>SUM(P4:P5)</f>
        <v>32729</v>
      </c>
    </row>
    <row r="7" spans="1:17" ht="18" customHeight="1">
      <c r="A7" s="522" t="s">
        <v>246</v>
      </c>
      <c r="B7" s="523"/>
      <c r="C7" s="505"/>
      <c r="D7" s="511"/>
      <c r="E7" s="512"/>
      <c r="F7" s="512"/>
      <c r="G7" s="512"/>
      <c r="H7" s="506"/>
      <c r="I7" s="508"/>
      <c r="J7" s="524"/>
      <c r="K7" s="510"/>
      <c r="L7" s="490"/>
      <c r="M7" s="437"/>
      <c r="N7" s="437"/>
      <c r="P7" s="572"/>
    </row>
    <row r="8" spans="1:17" ht="18" customHeight="1">
      <c r="A8" s="551" t="s">
        <v>240</v>
      </c>
      <c r="B8" s="515"/>
      <c r="C8" s="525" t="s">
        <v>144</v>
      </c>
      <c r="D8" s="526">
        <v>0</v>
      </c>
      <c r="E8" s="527">
        <v>803</v>
      </c>
      <c r="F8" s="527">
        <v>0</v>
      </c>
      <c r="G8" s="527">
        <v>0</v>
      </c>
      <c r="H8" s="528">
        <v>0</v>
      </c>
      <c r="I8" s="529" t="s">
        <v>185</v>
      </c>
      <c r="J8" s="530">
        <f>(G8*150)+4200+3.75*E8</f>
        <v>7211.25</v>
      </c>
      <c r="K8" s="531"/>
      <c r="L8" s="490"/>
      <c r="M8" s="364">
        <v>0</v>
      </c>
      <c r="N8" s="364">
        <f>D8-M8</f>
        <v>0</v>
      </c>
      <c r="P8" s="574">
        <v>803</v>
      </c>
      <c r="Q8" s="580">
        <f t="shared" si="0"/>
        <v>0</v>
      </c>
    </row>
    <row r="9" spans="1:17" ht="18" customHeight="1">
      <c r="A9" s="532" t="s">
        <v>147</v>
      </c>
      <c r="B9" s="533"/>
      <c r="C9" s="534"/>
      <c r="D9" s="535"/>
      <c r="E9" s="536"/>
      <c r="F9" s="536"/>
      <c r="G9" s="536"/>
      <c r="H9" s="535"/>
      <c r="I9" s="537"/>
      <c r="J9" s="538"/>
      <c r="K9" s="539"/>
      <c r="L9" s="490"/>
      <c r="M9" s="398"/>
      <c r="N9" s="398"/>
      <c r="P9" s="575"/>
    </row>
    <row r="10" spans="1:17" ht="18" customHeight="1">
      <c r="A10" s="503" t="s">
        <v>223</v>
      </c>
      <c r="B10" s="504"/>
      <c r="C10" s="505" t="s">
        <v>127</v>
      </c>
      <c r="D10" s="506">
        <v>0</v>
      </c>
      <c r="E10" s="507">
        <v>2785</v>
      </c>
      <c r="F10" s="507">
        <v>0</v>
      </c>
      <c r="G10" s="507">
        <v>0</v>
      </c>
      <c r="H10" s="513">
        <v>0</v>
      </c>
      <c r="I10" s="508" t="s">
        <v>185</v>
      </c>
      <c r="J10" s="524">
        <f>(G10*150)+4200+(3.75*E10)</f>
        <v>14643.75</v>
      </c>
      <c r="K10" s="510"/>
      <c r="L10" s="490"/>
      <c r="M10" s="360">
        <v>0</v>
      </c>
      <c r="N10" s="360">
        <f>D10-M10</f>
        <v>0</v>
      </c>
      <c r="P10" s="571">
        <v>2785</v>
      </c>
      <c r="Q10" s="580">
        <f t="shared" si="0"/>
        <v>0</v>
      </c>
    </row>
    <row r="11" spans="1:17" ht="18" customHeight="1">
      <c r="A11" s="503" t="s">
        <v>224</v>
      </c>
      <c r="B11" s="504"/>
      <c r="C11" s="505" t="s">
        <v>128</v>
      </c>
      <c r="D11" s="506">
        <v>0</v>
      </c>
      <c r="E11" s="507">
        <v>682.8</v>
      </c>
      <c r="F11" s="507">
        <v>0</v>
      </c>
      <c r="G11" s="507">
        <v>0</v>
      </c>
      <c r="H11" s="506">
        <v>0</v>
      </c>
      <c r="I11" s="508" t="s">
        <v>185</v>
      </c>
      <c r="J11" s="524">
        <f>(G11*150)+4200+(3.75*E11)</f>
        <v>6760.5</v>
      </c>
      <c r="K11" s="510"/>
      <c r="L11" s="490"/>
      <c r="M11" s="360">
        <v>0</v>
      </c>
      <c r="N11" s="360">
        <f>D11-M11</f>
        <v>0</v>
      </c>
      <c r="P11" s="571">
        <v>682.8</v>
      </c>
      <c r="Q11" s="580">
        <f t="shared" si="0"/>
        <v>0</v>
      </c>
    </row>
    <row r="12" spans="1:17" ht="18" customHeight="1" thickBot="1">
      <c r="A12" s="503" t="s">
        <v>225</v>
      </c>
      <c r="B12" s="504"/>
      <c r="C12" s="505" t="s">
        <v>177</v>
      </c>
      <c r="D12" s="540">
        <v>0</v>
      </c>
      <c r="E12" s="541">
        <v>536.20000000000005</v>
      </c>
      <c r="F12" s="541">
        <v>0</v>
      </c>
      <c r="G12" s="541">
        <v>0</v>
      </c>
      <c r="H12" s="542">
        <v>0</v>
      </c>
      <c r="I12" s="543" t="s">
        <v>185</v>
      </c>
      <c r="J12" s="544">
        <f>(G12*150)+4200+(3.75*E12)</f>
        <v>6210.75</v>
      </c>
      <c r="K12" s="545"/>
      <c r="L12" s="490"/>
      <c r="M12" s="361">
        <v>0</v>
      </c>
      <c r="N12" s="361">
        <f>D12-M12</f>
        <v>0</v>
      </c>
      <c r="P12" s="576">
        <v>536.20000000000005</v>
      </c>
      <c r="Q12" s="580">
        <f t="shared" si="0"/>
        <v>0</v>
      </c>
    </row>
    <row r="13" spans="1:17" ht="18" customHeight="1" thickTop="1">
      <c r="A13" s="514"/>
      <c r="B13" s="515"/>
      <c r="C13" s="516" t="s">
        <v>167</v>
      </c>
      <c r="D13" s="546">
        <f>SUM(D10:D12)</f>
        <v>0</v>
      </c>
      <c r="E13" s="547">
        <f>SUM(E10:E12)</f>
        <v>4004</v>
      </c>
      <c r="F13" s="547">
        <f>SUM(F10:F12)</f>
        <v>0</v>
      </c>
      <c r="G13" s="547">
        <f>SUM(G10:G12)</f>
        <v>0</v>
      </c>
      <c r="H13" s="546">
        <f>SUM(H10:H12)</f>
        <v>0</v>
      </c>
      <c r="I13" s="548" t="s">
        <v>185</v>
      </c>
      <c r="J13" s="549">
        <f>SUM(J10:J12)</f>
        <v>27615</v>
      </c>
      <c r="K13" s="550"/>
      <c r="L13" s="490"/>
      <c r="M13" s="388">
        <f>SUM(M10:M12)</f>
        <v>0</v>
      </c>
      <c r="N13" s="388">
        <f>D13-M13</f>
        <v>0</v>
      </c>
      <c r="P13" s="574">
        <f>SUM(P10:P12)</f>
        <v>4004</v>
      </c>
    </row>
    <row r="14" spans="1:17" ht="18" customHeight="1">
      <c r="A14" s="532" t="s">
        <v>72</v>
      </c>
      <c r="B14" s="533"/>
      <c r="C14" s="534"/>
      <c r="D14" s="535"/>
      <c r="E14" s="536"/>
      <c r="F14" s="536"/>
      <c r="G14" s="536"/>
      <c r="H14" s="535"/>
      <c r="I14" s="537"/>
      <c r="J14" s="538"/>
      <c r="K14" s="539"/>
      <c r="L14" s="490"/>
      <c r="M14" s="398"/>
      <c r="N14" s="398"/>
      <c r="P14" s="575"/>
    </row>
    <row r="15" spans="1:17" ht="18" customHeight="1">
      <c r="A15" s="551" t="s">
        <v>226</v>
      </c>
      <c r="B15" s="552"/>
      <c r="C15" s="525" t="s">
        <v>131</v>
      </c>
      <c r="D15" s="526">
        <v>0</v>
      </c>
      <c r="E15" s="527">
        <v>437</v>
      </c>
      <c r="F15" s="527">
        <v>0</v>
      </c>
      <c r="G15" s="527">
        <v>0</v>
      </c>
      <c r="H15" s="528">
        <v>0</v>
      </c>
      <c r="I15" s="529" t="s">
        <v>185</v>
      </c>
      <c r="J15" s="530">
        <f>(G15*150)+4200+3.75*E15</f>
        <v>5838.75</v>
      </c>
      <c r="K15" s="531"/>
      <c r="L15" s="490"/>
      <c r="M15" s="364">
        <v>0</v>
      </c>
      <c r="N15" s="364">
        <f>D15-M15</f>
        <v>0</v>
      </c>
      <c r="P15" s="574">
        <v>437</v>
      </c>
      <c r="Q15" s="580">
        <f t="shared" ref="Q15:Q42" si="1">E15-P15</f>
        <v>0</v>
      </c>
    </row>
    <row r="16" spans="1:17" ht="18" customHeight="1">
      <c r="A16" s="532" t="s">
        <v>180</v>
      </c>
      <c r="B16" s="533"/>
      <c r="C16" s="534"/>
      <c r="D16" s="535"/>
      <c r="E16" s="536"/>
      <c r="F16" s="536"/>
      <c r="G16" s="536"/>
      <c r="H16" s="535"/>
      <c r="I16" s="537"/>
      <c r="J16" s="538"/>
      <c r="K16" s="539"/>
      <c r="L16" s="490"/>
      <c r="M16" s="398"/>
      <c r="N16" s="398"/>
      <c r="P16" s="575"/>
    </row>
    <row r="17" spans="1:18" ht="18" customHeight="1">
      <c r="A17" s="503" t="s">
        <v>227</v>
      </c>
      <c r="B17" s="504"/>
      <c r="C17" s="505" t="s">
        <v>132</v>
      </c>
      <c r="D17" s="506">
        <v>1020303</v>
      </c>
      <c r="E17" s="507">
        <v>17371.3</v>
      </c>
      <c r="F17" s="507">
        <v>44.4</v>
      </c>
      <c r="G17" s="507">
        <v>67.8</v>
      </c>
      <c r="H17" s="506">
        <f>D17/G17</f>
        <v>15048.716814159292</v>
      </c>
      <c r="I17" s="508" t="s">
        <v>185</v>
      </c>
      <c r="J17" s="524">
        <f>(G17*150)+4200+3.75*E17</f>
        <v>79512.375</v>
      </c>
      <c r="K17" s="510"/>
      <c r="L17" s="490"/>
      <c r="M17" s="360">
        <f>'SUM2007'!D17</f>
        <v>1630993</v>
      </c>
      <c r="N17" s="360">
        <f>D17-M17</f>
        <v>-610690</v>
      </c>
      <c r="P17" s="571">
        <v>17371.3</v>
      </c>
      <c r="Q17" s="580">
        <f t="shared" si="1"/>
        <v>0</v>
      </c>
    </row>
    <row r="18" spans="1:18" ht="18" customHeight="1" thickBot="1">
      <c r="A18" s="503">
        <v>47</v>
      </c>
      <c r="B18" s="504"/>
      <c r="C18" s="505" t="s">
        <v>157</v>
      </c>
      <c r="D18" s="540">
        <v>5470255</v>
      </c>
      <c r="E18" s="541">
        <v>4053.8</v>
      </c>
      <c r="F18" s="541">
        <v>524.1</v>
      </c>
      <c r="G18" s="541">
        <v>382.5</v>
      </c>
      <c r="H18" s="540">
        <f>D18/G18</f>
        <v>14301.320261437908</v>
      </c>
      <c r="I18" s="553" t="s">
        <v>185</v>
      </c>
      <c r="J18" s="544">
        <f>ROUNDUP((G18*150)+4200+3.75*E18,2)</f>
        <v>76776.75</v>
      </c>
      <c r="K18" s="554"/>
      <c r="L18" s="490"/>
      <c r="M18" s="361">
        <f>'SUM2007'!D18</f>
        <v>5169675</v>
      </c>
      <c r="N18" s="361">
        <f>D18-M18</f>
        <v>300580</v>
      </c>
      <c r="P18" s="576">
        <v>4053.8</v>
      </c>
      <c r="Q18" s="580">
        <f t="shared" si="1"/>
        <v>0</v>
      </c>
    </row>
    <row r="19" spans="1:18" ht="18" customHeight="1" thickTop="1">
      <c r="A19" s="514"/>
      <c r="B19" s="515"/>
      <c r="C19" s="516" t="s">
        <v>188</v>
      </c>
      <c r="D19" s="546">
        <f>SUM(D17:D18)</f>
        <v>6490558</v>
      </c>
      <c r="E19" s="547">
        <f>SUM(E17:E18)</f>
        <v>21425.1</v>
      </c>
      <c r="F19" s="547">
        <f>SUM(F17:F18)</f>
        <v>568.5</v>
      </c>
      <c r="G19" s="547">
        <f>SUM(G17:G18)</f>
        <v>450.3</v>
      </c>
      <c r="H19" s="546">
        <f>D19/G19</f>
        <v>14413.852986897624</v>
      </c>
      <c r="I19" s="555" t="s">
        <v>185</v>
      </c>
      <c r="J19" s="556">
        <f>ROUNDUP(SUM(J17:J18),2)</f>
        <v>156289.13</v>
      </c>
      <c r="K19" s="557"/>
      <c r="L19" s="490"/>
      <c r="M19" s="388">
        <f>SUM(M17:M18)</f>
        <v>6800668</v>
      </c>
      <c r="N19" s="388">
        <f>D19-M19</f>
        <v>-310110</v>
      </c>
      <c r="P19" s="574">
        <f>SUM(P17:P18)</f>
        <v>21425.1</v>
      </c>
    </row>
    <row r="20" spans="1:18" ht="18" customHeight="1">
      <c r="A20" s="532" t="s">
        <v>75</v>
      </c>
      <c r="B20" s="533"/>
      <c r="C20" s="534"/>
      <c r="D20" s="535"/>
      <c r="E20" s="536"/>
      <c r="F20" s="536"/>
      <c r="G20" s="536"/>
      <c r="H20" s="535"/>
      <c r="I20" s="537"/>
      <c r="J20" s="538"/>
      <c r="K20" s="539"/>
      <c r="L20" s="490"/>
      <c r="M20" s="398"/>
      <c r="N20" s="398"/>
      <c r="P20" s="575"/>
      <c r="R20" s="582"/>
    </row>
    <row r="21" spans="1:18" ht="18" customHeight="1">
      <c r="A21" s="551" t="s">
        <v>228</v>
      </c>
      <c r="B21" s="552"/>
      <c r="C21" s="525" t="s">
        <v>216</v>
      </c>
      <c r="D21" s="526">
        <v>4054916</v>
      </c>
      <c r="E21" s="527">
        <v>19186.599999999999</v>
      </c>
      <c r="F21" s="527">
        <v>472.6</v>
      </c>
      <c r="G21" s="527">
        <v>372.9</v>
      </c>
      <c r="H21" s="526">
        <f>D21/G21</f>
        <v>10874.003754357738</v>
      </c>
      <c r="I21" s="529" t="s">
        <v>185</v>
      </c>
      <c r="J21" s="530">
        <f>4200+E21*3.75+G21*150</f>
        <v>132084.75</v>
      </c>
      <c r="K21" s="531"/>
      <c r="L21" s="490"/>
      <c r="M21" s="364">
        <f>'SUM2007'!D21</f>
        <v>4153485</v>
      </c>
      <c r="N21" s="364">
        <f>D21-M21</f>
        <v>-98569</v>
      </c>
      <c r="P21" s="574">
        <v>19186.599999999999</v>
      </c>
      <c r="Q21" s="581">
        <f t="shared" si="1"/>
        <v>0</v>
      </c>
      <c r="R21" s="583">
        <f>Q21*3.75</f>
        <v>0</v>
      </c>
    </row>
    <row r="22" spans="1:18" ht="18" customHeight="1">
      <c r="A22" s="532" t="s">
        <v>77</v>
      </c>
      <c r="B22" s="533"/>
      <c r="C22" s="534"/>
      <c r="D22" s="535"/>
      <c r="E22" s="536"/>
      <c r="F22" s="536"/>
      <c r="G22" s="536"/>
      <c r="H22" s="535"/>
      <c r="I22" s="537"/>
      <c r="J22" s="538"/>
      <c r="K22" s="539"/>
      <c r="L22" s="490"/>
      <c r="M22" s="535"/>
      <c r="N22" s="535"/>
      <c r="P22" s="575"/>
      <c r="R22" s="584"/>
    </row>
    <row r="23" spans="1:18" ht="18" customHeight="1">
      <c r="A23" s="503" t="s">
        <v>229</v>
      </c>
      <c r="B23" s="504"/>
      <c r="C23" s="505" t="s">
        <v>151</v>
      </c>
      <c r="D23" s="506">
        <v>2014988</v>
      </c>
      <c r="E23" s="507">
        <v>10441</v>
      </c>
      <c r="F23" s="507">
        <v>130.19999999999999</v>
      </c>
      <c r="G23" s="507">
        <v>144</v>
      </c>
      <c r="H23" s="506">
        <f>D23/G23</f>
        <v>13992.972222222223</v>
      </c>
      <c r="I23" s="508" t="s">
        <v>185</v>
      </c>
      <c r="J23" s="524">
        <f>(G23*150)+4200+(3.75*E23)</f>
        <v>64953.75</v>
      </c>
      <c r="K23" s="510"/>
      <c r="L23" s="490"/>
      <c r="M23" s="506">
        <f>'SUM2007'!D23</f>
        <v>2899523</v>
      </c>
      <c r="N23" s="506">
        <f>D23-M23</f>
        <v>-884535</v>
      </c>
      <c r="P23" s="571">
        <v>10441</v>
      </c>
      <c r="Q23" s="580">
        <f t="shared" si="1"/>
        <v>0</v>
      </c>
      <c r="R23" s="584"/>
    </row>
    <row r="24" spans="1:18" ht="18" customHeight="1" thickBot="1">
      <c r="A24" s="503">
        <v>52</v>
      </c>
      <c r="B24" s="504"/>
      <c r="C24" s="505" t="s">
        <v>244</v>
      </c>
      <c r="D24" s="540">
        <v>1063774</v>
      </c>
      <c r="E24" s="541">
        <v>1222</v>
      </c>
      <c r="F24" s="541">
        <v>672.1</v>
      </c>
      <c r="G24" s="541">
        <v>143.5</v>
      </c>
      <c r="H24" s="540">
        <f>D24/G24</f>
        <v>7413.0592334494777</v>
      </c>
      <c r="I24" s="553" t="s">
        <v>185</v>
      </c>
      <c r="J24" s="544">
        <f>(G24*150)+4200+(3.75*E24)</f>
        <v>30307.5</v>
      </c>
      <c r="K24" s="554"/>
      <c r="L24" s="490"/>
      <c r="M24" s="540">
        <v>0</v>
      </c>
      <c r="N24" s="540">
        <f>D24-M24</f>
        <v>1063774</v>
      </c>
      <c r="P24" s="576">
        <v>1222</v>
      </c>
      <c r="Q24" s="581">
        <f t="shared" si="1"/>
        <v>0</v>
      </c>
      <c r="R24" s="583">
        <f>Q24*3.75</f>
        <v>0</v>
      </c>
    </row>
    <row r="25" spans="1:18" ht="18" customHeight="1" thickTop="1">
      <c r="A25" s="503"/>
      <c r="B25" s="504"/>
      <c r="C25" s="585" t="s">
        <v>247</v>
      </c>
      <c r="D25" s="586">
        <f>SUM(D23:D24)</f>
        <v>3078762</v>
      </c>
      <c r="E25" s="587">
        <f>SUM(E23:E24)</f>
        <v>11663</v>
      </c>
      <c r="F25" s="587">
        <f>SUM(F23:F24)</f>
        <v>802.3</v>
      </c>
      <c r="G25" s="587">
        <f>SUM(G23:G24)</f>
        <v>287.5</v>
      </c>
      <c r="H25" s="586">
        <f>SUM(H23:H24)</f>
        <v>21406.031455671698</v>
      </c>
      <c r="I25" s="508" t="s">
        <v>185</v>
      </c>
      <c r="J25" s="569">
        <f>SUM(J23:J24)</f>
        <v>95261.25</v>
      </c>
      <c r="K25" s="510"/>
      <c r="L25" s="490"/>
      <c r="M25" s="506">
        <f>SUM(M23:M24)</f>
        <v>2899523</v>
      </c>
      <c r="N25" s="506">
        <f>SUM(N23:N24)</f>
        <v>179239</v>
      </c>
      <c r="P25" s="571">
        <f>SUM(P23:P24)</f>
        <v>11663</v>
      </c>
      <c r="R25" s="582"/>
    </row>
    <row r="26" spans="1:18" ht="18" customHeight="1">
      <c r="A26" s="532" t="s">
        <v>78</v>
      </c>
      <c r="B26" s="533"/>
      <c r="C26" s="534"/>
      <c r="D26" s="535"/>
      <c r="E26" s="536"/>
      <c r="F26" s="536"/>
      <c r="G26" s="536"/>
      <c r="H26" s="535"/>
      <c r="I26" s="537"/>
      <c r="J26" s="538"/>
      <c r="K26" s="539"/>
      <c r="L26" s="490"/>
      <c r="M26" s="398"/>
      <c r="N26" s="398"/>
      <c r="P26" s="575"/>
      <c r="R26" s="582"/>
    </row>
    <row r="27" spans="1:18" ht="18" customHeight="1">
      <c r="A27" s="503" t="s">
        <v>230</v>
      </c>
      <c r="B27" s="504"/>
      <c r="C27" s="505" t="s">
        <v>134</v>
      </c>
      <c r="D27" s="506">
        <v>0</v>
      </c>
      <c r="E27" s="507">
        <v>6385.5</v>
      </c>
      <c r="F27" s="507">
        <v>0</v>
      </c>
      <c r="G27" s="507">
        <v>0</v>
      </c>
      <c r="H27" s="506">
        <v>0</v>
      </c>
      <c r="I27" s="508" t="s">
        <v>185</v>
      </c>
      <c r="J27" s="524">
        <f>ROUNDUP((G27*150)+4200+3.75*E27,2)</f>
        <v>28145.629999999997</v>
      </c>
      <c r="K27" s="510"/>
      <c r="L27" s="490"/>
      <c r="M27" s="360">
        <v>0</v>
      </c>
      <c r="N27" s="360">
        <f>D27-M27</f>
        <v>0</v>
      </c>
      <c r="P27" s="571">
        <v>6385.5</v>
      </c>
      <c r="Q27" s="580">
        <f t="shared" si="1"/>
        <v>0</v>
      </c>
      <c r="R27" s="582"/>
    </row>
    <row r="28" spans="1:18" ht="18" customHeight="1" thickBot="1">
      <c r="A28" s="503" t="s">
        <v>231</v>
      </c>
      <c r="B28" s="504"/>
      <c r="C28" s="505" t="s">
        <v>178</v>
      </c>
      <c r="D28" s="540">
        <v>0</v>
      </c>
      <c r="E28" s="541">
        <v>2257</v>
      </c>
      <c r="F28" s="541">
        <v>0</v>
      </c>
      <c r="G28" s="541">
        <v>0</v>
      </c>
      <c r="H28" s="540">
        <v>0</v>
      </c>
      <c r="I28" s="553" t="s">
        <v>185</v>
      </c>
      <c r="J28" s="544">
        <f>(G28*150)+4200+3.75*E28</f>
        <v>12663.75</v>
      </c>
      <c r="K28" s="554"/>
      <c r="L28" s="490"/>
      <c r="M28" s="361">
        <v>0</v>
      </c>
      <c r="N28" s="361">
        <f>D28-M28</f>
        <v>0</v>
      </c>
      <c r="P28" s="576">
        <v>2257</v>
      </c>
      <c r="Q28" s="580">
        <f t="shared" si="1"/>
        <v>0</v>
      </c>
    </row>
    <row r="29" spans="1:18" ht="18" customHeight="1" thickTop="1">
      <c r="A29" s="514"/>
      <c r="B29" s="515"/>
      <c r="C29" s="516" t="s">
        <v>168</v>
      </c>
      <c r="D29" s="546">
        <f>SUM(D27:D28)</f>
        <v>0</v>
      </c>
      <c r="E29" s="547">
        <f>SUM(E27:E28)</f>
        <v>8642.5</v>
      </c>
      <c r="F29" s="547">
        <f>SUM(F27:F28)</f>
        <v>0</v>
      </c>
      <c r="G29" s="547">
        <f>SUM(G27:G28)</f>
        <v>0</v>
      </c>
      <c r="H29" s="546">
        <v>0</v>
      </c>
      <c r="I29" s="548" t="s">
        <v>185</v>
      </c>
      <c r="J29" s="558">
        <f>SUM(J27:J28)</f>
        <v>40809.379999999997</v>
      </c>
      <c r="K29" s="550"/>
      <c r="L29" s="490"/>
      <c r="M29" s="388">
        <f>SUM(M27:M28)</f>
        <v>0</v>
      </c>
      <c r="N29" s="388">
        <f>D29-M29</f>
        <v>0</v>
      </c>
      <c r="P29" s="574">
        <f>SUM(P27:P28)</f>
        <v>8642.5</v>
      </c>
    </row>
    <row r="30" spans="1:18" ht="18" customHeight="1">
      <c r="A30" s="532" t="s">
        <v>219</v>
      </c>
      <c r="B30" s="533"/>
      <c r="C30" s="534"/>
      <c r="D30" s="535"/>
      <c r="E30" s="536"/>
      <c r="F30" s="536"/>
      <c r="G30" s="536"/>
      <c r="H30" s="535"/>
      <c r="I30" s="537"/>
      <c r="J30" s="538"/>
      <c r="K30" s="539"/>
      <c r="L30" s="490"/>
      <c r="M30" s="398"/>
      <c r="N30" s="398"/>
      <c r="P30" s="575"/>
    </row>
    <row r="31" spans="1:18" ht="18" customHeight="1">
      <c r="A31" s="503" t="s">
        <v>241</v>
      </c>
      <c r="B31" s="504"/>
      <c r="C31" s="505" t="s">
        <v>136</v>
      </c>
      <c r="D31" s="506">
        <v>3608723</v>
      </c>
      <c r="E31" s="507">
        <v>7299</v>
      </c>
      <c r="F31" s="507">
        <v>120</v>
      </c>
      <c r="G31" s="507">
        <v>163.5</v>
      </c>
      <c r="H31" s="506">
        <f t="shared" ref="H31:H39" si="2">D31/G31</f>
        <v>22071.700305810398</v>
      </c>
      <c r="I31" s="508" t="s">
        <v>185</v>
      </c>
      <c r="J31" s="524">
        <f t="shared" ref="J31:J38" si="3">(G31*150)+4200+3.75*E31</f>
        <v>56096.25</v>
      </c>
      <c r="K31" s="510"/>
      <c r="L31" s="490"/>
      <c r="M31" s="360">
        <f>'SUM2007'!D29</f>
        <v>3515809</v>
      </c>
      <c r="N31" s="360">
        <f t="shared" ref="N31:N42" si="4">D31-M31</f>
        <v>92914</v>
      </c>
      <c r="P31" s="571">
        <v>7299</v>
      </c>
      <c r="Q31" s="580">
        <f t="shared" si="1"/>
        <v>0</v>
      </c>
    </row>
    <row r="32" spans="1:18" ht="18" customHeight="1">
      <c r="A32" s="503" t="s">
        <v>233</v>
      </c>
      <c r="B32" s="504"/>
      <c r="C32" s="505" t="s">
        <v>143</v>
      </c>
      <c r="D32" s="506">
        <v>7146063</v>
      </c>
      <c r="E32" s="507">
        <v>18231</v>
      </c>
      <c r="F32" s="507">
        <v>244</v>
      </c>
      <c r="G32" s="507">
        <v>548</v>
      </c>
      <c r="H32" s="506">
        <f t="shared" si="2"/>
        <v>13040.26094890511</v>
      </c>
      <c r="I32" s="508" t="s">
        <v>185</v>
      </c>
      <c r="J32" s="524">
        <f t="shared" si="3"/>
        <v>154766.25</v>
      </c>
      <c r="K32" s="510"/>
      <c r="L32" s="490"/>
      <c r="M32" s="360">
        <f>'SUM2007'!D30</f>
        <v>7677112</v>
      </c>
      <c r="N32" s="360">
        <f t="shared" si="4"/>
        <v>-531049</v>
      </c>
      <c r="P32" s="571">
        <v>18231</v>
      </c>
      <c r="Q32" s="580">
        <f t="shared" si="1"/>
        <v>0</v>
      </c>
    </row>
    <row r="33" spans="1:18" ht="18" customHeight="1">
      <c r="A33" s="503" t="s">
        <v>234</v>
      </c>
      <c r="B33" s="504"/>
      <c r="C33" s="505" t="s">
        <v>137</v>
      </c>
      <c r="D33" s="506">
        <v>4311076</v>
      </c>
      <c r="E33" s="507">
        <v>20039</v>
      </c>
      <c r="F33" s="507">
        <v>129.5</v>
      </c>
      <c r="G33" s="507">
        <v>333.3</v>
      </c>
      <c r="H33" s="506">
        <f t="shared" si="2"/>
        <v>12934.521452145214</v>
      </c>
      <c r="I33" s="508" t="s">
        <v>185</v>
      </c>
      <c r="J33" s="524">
        <f t="shared" si="3"/>
        <v>129341.25</v>
      </c>
      <c r="K33" s="510"/>
      <c r="L33" s="490"/>
      <c r="M33" s="360">
        <f>'SUM2007'!D31</f>
        <v>3761434</v>
      </c>
      <c r="N33" s="360">
        <f t="shared" si="4"/>
        <v>549642</v>
      </c>
      <c r="P33" s="571">
        <v>20039</v>
      </c>
      <c r="Q33" s="580">
        <f t="shared" si="1"/>
        <v>0</v>
      </c>
    </row>
    <row r="34" spans="1:18" ht="18" customHeight="1">
      <c r="A34" s="503" t="s">
        <v>235</v>
      </c>
      <c r="B34" s="504"/>
      <c r="C34" s="505" t="s">
        <v>155</v>
      </c>
      <c r="D34" s="506">
        <v>3019319</v>
      </c>
      <c r="E34" s="507">
        <v>16867</v>
      </c>
      <c r="F34" s="507">
        <v>43.1</v>
      </c>
      <c r="G34" s="507">
        <v>205</v>
      </c>
      <c r="H34" s="506">
        <f t="shared" si="2"/>
        <v>14728.385365853659</v>
      </c>
      <c r="I34" s="508" t="s">
        <v>185</v>
      </c>
      <c r="J34" s="524">
        <f t="shared" si="3"/>
        <v>98201.25</v>
      </c>
      <c r="K34" s="510"/>
      <c r="L34" s="490"/>
      <c r="M34" s="360">
        <f>'SUM2007'!D32</f>
        <v>3502720</v>
      </c>
      <c r="N34" s="360">
        <f t="shared" si="4"/>
        <v>-483401</v>
      </c>
      <c r="P34" s="571">
        <v>16867</v>
      </c>
      <c r="Q34" s="580">
        <f t="shared" si="1"/>
        <v>0</v>
      </c>
    </row>
    <row r="35" spans="1:18" ht="18" customHeight="1">
      <c r="A35" s="503" t="s">
        <v>236</v>
      </c>
      <c r="B35" s="504"/>
      <c r="C35" s="505" t="s">
        <v>239</v>
      </c>
      <c r="D35" s="506">
        <v>1764648</v>
      </c>
      <c r="E35" s="507">
        <v>2831</v>
      </c>
      <c r="F35" s="507">
        <v>150</v>
      </c>
      <c r="G35" s="507">
        <v>78.3</v>
      </c>
      <c r="H35" s="506">
        <f t="shared" si="2"/>
        <v>22537.011494252874</v>
      </c>
      <c r="I35" s="508" t="s">
        <v>185</v>
      </c>
      <c r="J35" s="524">
        <f t="shared" si="3"/>
        <v>26561.25</v>
      </c>
      <c r="K35" s="510"/>
      <c r="L35" s="490"/>
      <c r="M35" s="360">
        <f>'SUM2007'!D33</f>
        <v>2090370</v>
      </c>
      <c r="N35" s="360">
        <f t="shared" si="4"/>
        <v>-325722</v>
      </c>
      <c r="P35" s="571">
        <v>2831</v>
      </c>
      <c r="Q35" s="580">
        <f t="shared" si="1"/>
        <v>0</v>
      </c>
    </row>
    <row r="36" spans="1:18" ht="18" customHeight="1">
      <c r="A36" s="503">
        <v>49</v>
      </c>
      <c r="B36" s="504"/>
      <c r="C36" s="505" t="s">
        <v>183</v>
      </c>
      <c r="D36" s="506">
        <v>0</v>
      </c>
      <c r="E36" s="507">
        <v>3370</v>
      </c>
      <c r="F36" s="507">
        <v>0</v>
      </c>
      <c r="G36" s="507">
        <v>0</v>
      </c>
      <c r="H36" s="506">
        <v>0</v>
      </c>
      <c r="I36" s="508" t="s">
        <v>185</v>
      </c>
      <c r="J36" s="524">
        <f>(G36*150)+4200+3.75*E36</f>
        <v>16837.5</v>
      </c>
      <c r="K36" s="510"/>
      <c r="L36" s="490"/>
      <c r="M36" s="360">
        <v>0</v>
      </c>
      <c r="N36" s="360">
        <f t="shared" si="4"/>
        <v>0</v>
      </c>
      <c r="P36" s="571">
        <v>3370</v>
      </c>
      <c r="Q36" s="580">
        <f t="shared" si="1"/>
        <v>0</v>
      </c>
    </row>
    <row r="37" spans="1:18" ht="18" customHeight="1">
      <c r="A37" s="503">
        <v>50</v>
      </c>
      <c r="B37" s="504"/>
      <c r="C37" s="505" t="s">
        <v>217</v>
      </c>
      <c r="D37" s="506">
        <v>802074</v>
      </c>
      <c r="E37" s="507">
        <v>3908</v>
      </c>
      <c r="F37" s="507">
        <v>53.5</v>
      </c>
      <c r="G37" s="507">
        <v>41.7</v>
      </c>
      <c r="H37" s="513">
        <f t="shared" si="2"/>
        <v>19234.388489208632</v>
      </c>
      <c r="I37" s="508" t="s">
        <v>185</v>
      </c>
      <c r="J37" s="524">
        <f>(G37*150)+4200+3.75*E37</f>
        <v>25110</v>
      </c>
      <c r="K37" s="510"/>
      <c r="L37" s="490"/>
      <c r="M37" s="360">
        <f>'SUM2007'!D35</f>
        <v>196806</v>
      </c>
      <c r="N37" s="360">
        <f>D37-M37</f>
        <v>605268</v>
      </c>
      <c r="P37" s="571">
        <v>3908</v>
      </c>
      <c r="Q37" s="580">
        <f t="shared" si="1"/>
        <v>0</v>
      </c>
    </row>
    <row r="38" spans="1:18" ht="18" customHeight="1" thickBot="1">
      <c r="A38" s="503">
        <v>51</v>
      </c>
      <c r="B38" s="504"/>
      <c r="C38" s="505" t="s">
        <v>242</v>
      </c>
      <c r="D38" s="506">
        <v>0</v>
      </c>
      <c r="E38" s="507">
        <v>4314</v>
      </c>
      <c r="F38" s="507">
        <v>0</v>
      </c>
      <c r="G38" s="541">
        <v>0</v>
      </c>
      <c r="H38" s="559">
        <v>0</v>
      </c>
      <c r="I38" s="553" t="s">
        <v>185</v>
      </c>
      <c r="J38" s="544">
        <f t="shared" si="3"/>
        <v>20377.5</v>
      </c>
      <c r="K38" s="554"/>
      <c r="L38" s="490"/>
      <c r="M38" s="360">
        <v>0</v>
      </c>
      <c r="N38" s="360">
        <f t="shared" si="4"/>
        <v>0</v>
      </c>
      <c r="P38" s="576">
        <v>4314</v>
      </c>
      <c r="Q38" s="580">
        <f t="shared" si="1"/>
        <v>0</v>
      </c>
    </row>
    <row r="39" spans="1:18" ht="18" customHeight="1" thickTop="1">
      <c r="A39" s="514"/>
      <c r="B39" s="515"/>
      <c r="C39" s="516" t="s">
        <v>221</v>
      </c>
      <c r="D39" s="560">
        <f>SUM(D31:D38)</f>
        <v>20651903</v>
      </c>
      <c r="E39" s="561">
        <f>SUM(E31:E38)</f>
        <v>76859</v>
      </c>
      <c r="F39" s="561">
        <f>SUM(F31:F38)</f>
        <v>740.1</v>
      </c>
      <c r="G39" s="561">
        <f>SUM(G31:G38)</f>
        <v>1369.8</v>
      </c>
      <c r="H39" s="560">
        <f t="shared" si="2"/>
        <v>15076.582712804789</v>
      </c>
      <c r="I39" s="548" t="s">
        <v>185</v>
      </c>
      <c r="J39" s="549">
        <f>SUM(J31:J38)</f>
        <v>527291.25</v>
      </c>
      <c r="K39" s="550"/>
      <c r="L39" s="490"/>
      <c r="M39" s="385">
        <f>SUM(M31:M38)</f>
        <v>20744251</v>
      </c>
      <c r="N39" s="385">
        <f t="shared" si="4"/>
        <v>-92348</v>
      </c>
      <c r="P39" s="590">
        <f>SUM(P31:P38)</f>
        <v>76859</v>
      </c>
    </row>
    <row r="40" spans="1:18" ht="18" customHeight="1">
      <c r="A40" s="532" t="s">
        <v>86</v>
      </c>
      <c r="B40" s="533"/>
      <c r="C40" s="534"/>
      <c r="D40" s="506"/>
      <c r="E40" s="507"/>
      <c r="F40" s="507"/>
      <c r="G40" s="536"/>
      <c r="H40" s="535"/>
      <c r="I40" s="537"/>
      <c r="J40" s="538"/>
      <c r="K40" s="539"/>
      <c r="L40" s="490"/>
      <c r="M40" s="360"/>
      <c r="N40" s="360">
        <f t="shared" si="4"/>
        <v>0</v>
      </c>
      <c r="P40" s="575"/>
    </row>
    <row r="41" spans="1:18" ht="18" customHeight="1" thickBot="1">
      <c r="A41" s="562" t="s">
        <v>237</v>
      </c>
      <c r="B41" s="563"/>
      <c r="C41" s="564" t="s">
        <v>139</v>
      </c>
      <c r="D41" s="540">
        <v>2121961</v>
      </c>
      <c r="E41" s="541">
        <v>3885</v>
      </c>
      <c r="F41" s="541">
        <v>114.1</v>
      </c>
      <c r="G41" s="541">
        <v>111.2</v>
      </c>
      <c r="H41" s="540">
        <f>D41/G41</f>
        <v>19082.383093525179</v>
      </c>
      <c r="I41" s="553" t="s">
        <v>185</v>
      </c>
      <c r="J41" s="544">
        <f>(G41*150)+4200+3.75*E41</f>
        <v>35448.75</v>
      </c>
      <c r="K41" s="554"/>
      <c r="L41" s="490"/>
      <c r="M41" s="361">
        <f>'SUM2007'!D38</f>
        <v>1902877</v>
      </c>
      <c r="N41" s="361">
        <f t="shared" si="4"/>
        <v>219084</v>
      </c>
      <c r="P41" s="576">
        <v>3885</v>
      </c>
      <c r="Q41" s="588">
        <f t="shared" si="1"/>
        <v>0</v>
      </c>
      <c r="R41" s="589">
        <f>Q41*3.75</f>
        <v>0</v>
      </c>
    </row>
    <row r="42" spans="1:18" ht="27.75" customHeight="1" thickTop="1" thickBot="1">
      <c r="A42" s="2060" t="s">
        <v>44</v>
      </c>
      <c r="B42" s="2061"/>
      <c r="C42" s="2062"/>
      <c r="D42" s="565">
        <f>SUM(D6,D8,D13,D15,D19,D21,D25,D29,D39,D41)</f>
        <v>40152112</v>
      </c>
      <c r="E42" s="566">
        <f>SUM(E6,E8,E13,E15,E19,E21,E25,E29,E39,E41)</f>
        <v>179634.2</v>
      </c>
      <c r="F42" s="566">
        <f>SUM(F6,F8,F13,F15,F19,F21,F25,F29,F39,F41)</f>
        <v>2916.5999999999995</v>
      </c>
      <c r="G42" s="566">
        <f>SUM(G6,G8,G13,G15,G19,G21,G25,G29,G39,G41)</f>
        <v>2716.7</v>
      </c>
      <c r="H42" s="565">
        <f>D42/G42</f>
        <v>14779.737181138882</v>
      </c>
      <c r="I42" s="567" t="s">
        <v>185</v>
      </c>
      <c r="J42" s="492">
        <f>(J6+J8+J13+J15+J19+J21+J25+J29+J39+J41)</f>
        <v>1177733.26</v>
      </c>
      <c r="K42" s="568"/>
      <c r="M42" s="368">
        <f>SUM(M6,M8,M13,M15,M19,M21,M25,M29,M39,M41)</f>
        <v>40785403</v>
      </c>
      <c r="N42" s="368">
        <f t="shared" si="4"/>
        <v>-633291</v>
      </c>
      <c r="O42" s="485">
        <f>N42/M42</f>
        <v>-1.5527393464764833E-2</v>
      </c>
      <c r="P42" s="577">
        <f>SUM(P6,P13,P15,P19,P21,P25,P29,P39,P41)</f>
        <v>178831.2</v>
      </c>
      <c r="Q42" s="580">
        <f t="shared" si="1"/>
        <v>803</v>
      </c>
      <c r="R42" s="485">
        <f>Q42/P42</f>
        <v>4.4902679174551197E-3</v>
      </c>
    </row>
    <row r="43" spans="1:18" ht="18" customHeight="1">
      <c r="G43" s="391"/>
      <c r="H43" s="401"/>
      <c r="I43" s="417"/>
      <c r="K43" s="417"/>
      <c r="P43" s="578"/>
    </row>
    <row r="45" spans="1:18" ht="18" customHeight="1">
      <c r="G45" s="389">
        <f>G42-'SUM2007'!G39</f>
        <v>60.799999999999272</v>
      </c>
      <c r="J45" s="491">
        <f>J42-R21-R41</f>
        <v>1177733.26</v>
      </c>
    </row>
    <row r="46" spans="1:18" ht="18" customHeight="1">
      <c r="F46" s="484"/>
      <c r="G46" s="591">
        <f>G45/'SUM2007'!G39</f>
        <v>2.2892428178771511E-2</v>
      </c>
      <c r="J46" s="491">
        <f>J45-J42</f>
        <v>0</v>
      </c>
    </row>
  </sheetData>
  <mergeCells count="15">
    <mergeCell ref="Q1:Q2"/>
    <mergeCell ref="A42:C42"/>
    <mergeCell ref="J1:J2"/>
    <mergeCell ref="K1:K2"/>
    <mergeCell ref="M1:M2"/>
    <mergeCell ref="N1:N2"/>
    <mergeCell ref="F1:F2"/>
    <mergeCell ref="G1:G2"/>
    <mergeCell ref="H1:H2"/>
    <mergeCell ref="I1:I2"/>
    <mergeCell ref="A1:A2"/>
    <mergeCell ref="C1:C2"/>
    <mergeCell ref="D1:D2"/>
    <mergeCell ref="E1:E2"/>
    <mergeCell ref="P1:P2"/>
  </mergeCells>
  <phoneticPr fontId="0" type="noConversion"/>
  <pageMargins left="0.99" right="0.75" top="0.72" bottom="0.48" header="0.5" footer="0.28999999999999998"/>
  <pageSetup scale="70" orientation="landscape" r:id="rId1"/>
  <headerFooter alignWithMargins="0">
    <oddHeader>&amp;C&amp;"Arial,Bold"&amp;14 2008 Annual Coal Production Report and Fee Payment Summary</oddHeader>
    <oddFooter>&amp;L&amp;D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R43"/>
  <sheetViews>
    <sheetView zoomScale="80" workbookViewId="0">
      <pane xSplit="3" ySplit="2" topLeftCell="D3" activePane="bottomRight" state="frozen"/>
      <selection activeCell="E51" sqref="E51"/>
      <selection pane="topRight" activeCell="E51" sqref="E51"/>
      <selection pane="bottomLeft" activeCell="E51" sqref="E51"/>
      <selection pane="bottomRight" activeCell="E51" sqref="E51"/>
    </sheetView>
  </sheetViews>
  <sheetFormatPr defaultColWidth="9.140625" defaultRowHeight="18" customHeight="1"/>
  <cols>
    <col min="1" max="1" width="22.28515625" style="178" customWidth="1"/>
    <col min="2" max="2" width="1.85546875" style="178" customWidth="1"/>
    <col min="3" max="3" width="28.42578125" style="178" customWidth="1"/>
    <col min="4" max="4" width="19.7109375" style="402" customWidth="1"/>
    <col min="5" max="6" width="18.85546875" style="389" customWidth="1"/>
    <col min="7" max="7" width="19.42578125" style="389" customWidth="1"/>
    <col min="8" max="8" width="18.28515625" style="402" customWidth="1"/>
    <col min="9" max="9" width="3.28515625" style="418" customWidth="1"/>
    <col min="10" max="10" width="16.42578125" style="491" customWidth="1"/>
    <col min="11" max="11" width="4.140625" style="418" customWidth="1"/>
    <col min="12" max="12" width="8.5703125" style="178" customWidth="1"/>
    <col min="13" max="13" width="17.28515625" style="483" customWidth="1"/>
    <col min="14" max="14" width="17" style="337" customWidth="1"/>
    <col min="15" max="15" width="8.85546875" style="337" bestFit="1" customWidth="1"/>
    <col min="16" max="16" width="17.7109375" style="382" customWidth="1"/>
    <col min="17" max="17" width="14.28515625" style="486" customWidth="1"/>
    <col min="18" max="16384" width="9.140625" style="337"/>
  </cols>
  <sheetData>
    <row r="1" spans="1:17" s="482" customFormat="1" ht="18" customHeight="1">
      <c r="A1" s="2072" t="s">
        <v>6</v>
      </c>
      <c r="B1" s="493"/>
      <c r="C1" s="2074" t="s">
        <v>162</v>
      </c>
      <c r="D1" s="2068" t="s">
        <v>220</v>
      </c>
      <c r="E1" s="2065" t="s">
        <v>190</v>
      </c>
      <c r="F1" s="2065" t="s">
        <v>187</v>
      </c>
      <c r="G1" s="2065" t="s">
        <v>186</v>
      </c>
      <c r="H1" s="2068" t="s">
        <v>238</v>
      </c>
      <c r="I1" s="2070" t="s">
        <v>184</v>
      </c>
      <c r="J1" s="2063" t="s">
        <v>164</v>
      </c>
      <c r="K1" s="2045" t="s">
        <v>184</v>
      </c>
      <c r="L1" s="488"/>
      <c r="M1" s="2077" t="s">
        <v>218</v>
      </c>
      <c r="N1" s="2079" t="s">
        <v>208</v>
      </c>
      <c r="P1" s="2080" t="s">
        <v>361</v>
      </c>
      <c r="Q1" s="2079" t="s">
        <v>208</v>
      </c>
    </row>
    <row r="2" spans="1:17" s="482" customFormat="1" ht="22.5" customHeight="1" thickBot="1">
      <c r="A2" s="2073"/>
      <c r="B2" s="494"/>
      <c r="C2" s="2075"/>
      <c r="D2" s="2076"/>
      <c r="E2" s="2066"/>
      <c r="F2" s="2066"/>
      <c r="G2" s="2067"/>
      <c r="H2" s="2069"/>
      <c r="I2" s="2071"/>
      <c r="J2" s="2064"/>
      <c r="K2" s="2046"/>
      <c r="L2" s="488"/>
      <c r="M2" s="2078"/>
      <c r="N2" s="2079"/>
      <c r="P2" s="2081"/>
      <c r="Q2" s="2079"/>
    </row>
    <row r="3" spans="1:17" ht="18" customHeight="1">
      <c r="A3" s="495" t="s">
        <v>110</v>
      </c>
      <c r="B3" s="496"/>
      <c r="C3" s="497"/>
      <c r="D3" s="498"/>
      <c r="E3" s="499"/>
      <c r="F3" s="499"/>
      <c r="G3" s="499"/>
      <c r="H3" s="498"/>
      <c r="I3" s="500"/>
      <c r="J3" s="501"/>
      <c r="K3" s="502"/>
      <c r="L3" s="489"/>
      <c r="M3" s="397"/>
      <c r="P3" s="373"/>
    </row>
    <row r="4" spans="1:17" ht="18" customHeight="1">
      <c r="A4" s="503" t="s">
        <v>222</v>
      </c>
      <c r="B4" s="504"/>
      <c r="C4" s="505" t="s">
        <v>125</v>
      </c>
      <c r="D4" s="506">
        <v>0</v>
      </c>
      <c r="E4" s="507">
        <v>17413</v>
      </c>
      <c r="F4" s="507">
        <v>0</v>
      </c>
      <c r="G4" s="507">
        <v>0</v>
      </c>
      <c r="H4" s="506">
        <v>0</v>
      </c>
      <c r="I4" s="508" t="s">
        <v>185</v>
      </c>
      <c r="J4" s="509">
        <f>(G4*150)+4200+(3.75*E4)</f>
        <v>69498.75</v>
      </c>
      <c r="K4" s="510"/>
      <c r="L4" s="490"/>
      <c r="M4" s="360">
        <v>0</v>
      </c>
      <c r="N4" s="395">
        <f>D4-M4</f>
        <v>0</v>
      </c>
      <c r="P4" s="374">
        <v>0</v>
      </c>
      <c r="Q4" s="487">
        <f>G4-P4</f>
        <v>0</v>
      </c>
    </row>
    <row r="5" spans="1:17" ht="18" customHeight="1" thickBot="1">
      <c r="A5" s="503">
        <v>48</v>
      </c>
      <c r="B5" s="504"/>
      <c r="C5" s="505" t="s">
        <v>165</v>
      </c>
      <c r="D5" s="511">
        <v>4284599</v>
      </c>
      <c r="E5" s="512">
        <v>15316</v>
      </c>
      <c r="F5" s="512">
        <v>156</v>
      </c>
      <c r="G5" s="512">
        <v>165</v>
      </c>
      <c r="H5" s="513">
        <f>D5/G5</f>
        <v>25967.266666666666</v>
      </c>
      <c r="I5" s="508" t="s">
        <v>185</v>
      </c>
      <c r="J5" s="509">
        <f>(G5*150)+4200+(3.75*E5)</f>
        <v>86385</v>
      </c>
      <c r="K5" s="510"/>
      <c r="L5" s="490"/>
      <c r="M5" s="437">
        <v>6949845</v>
      </c>
      <c r="N5" s="395">
        <f>D5-M5</f>
        <v>-2665246</v>
      </c>
      <c r="P5" s="375">
        <v>455.2</v>
      </c>
      <c r="Q5" s="487">
        <f>G5-P5</f>
        <v>-290.2</v>
      </c>
    </row>
    <row r="6" spans="1:17" ht="18" customHeight="1" thickTop="1">
      <c r="A6" s="514"/>
      <c r="B6" s="515"/>
      <c r="C6" s="516" t="s">
        <v>166</v>
      </c>
      <c r="D6" s="517">
        <f>SUM(D4:D5)</f>
        <v>4284599</v>
      </c>
      <c r="E6" s="518">
        <f>SUM(E4:E5)</f>
        <v>32729</v>
      </c>
      <c r="F6" s="518">
        <f>SUM(F4:F5)</f>
        <v>156</v>
      </c>
      <c r="G6" s="518">
        <f>SUM(G4:G5)</f>
        <v>165</v>
      </c>
      <c r="H6" s="517">
        <f>D6/G6</f>
        <v>25967.266666666666</v>
      </c>
      <c r="I6" s="519" t="s">
        <v>185</v>
      </c>
      <c r="J6" s="520">
        <f>SUM(J4,J5)</f>
        <v>155883.75</v>
      </c>
      <c r="K6" s="521"/>
      <c r="L6" s="490"/>
      <c r="M6" s="438">
        <f>SUM(M4:M5)</f>
        <v>6949845</v>
      </c>
      <c r="N6" s="395">
        <f>D6-M6</f>
        <v>-2665246</v>
      </c>
      <c r="P6" s="394">
        <f>SUM(P4:P5)</f>
        <v>455.2</v>
      </c>
      <c r="Q6" s="487">
        <f>G6-P6</f>
        <v>-290.2</v>
      </c>
    </row>
    <row r="7" spans="1:17" ht="18" customHeight="1">
      <c r="A7" s="522" t="s">
        <v>179</v>
      </c>
      <c r="B7" s="523"/>
      <c r="C7" s="505"/>
      <c r="D7" s="511"/>
      <c r="E7" s="512"/>
      <c r="F7" s="512"/>
      <c r="G7" s="512"/>
      <c r="H7" s="506"/>
      <c r="I7" s="508"/>
      <c r="J7" s="524"/>
      <c r="K7" s="510"/>
      <c r="L7" s="490"/>
      <c r="M7" s="437"/>
      <c r="N7" s="395"/>
      <c r="P7" s="375"/>
      <c r="Q7" s="487"/>
    </row>
    <row r="8" spans="1:17" ht="18" customHeight="1">
      <c r="A8" s="514">
        <v>42</v>
      </c>
      <c r="B8" s="515"/>
      <c r="C8" s="525" t="s">
        <v>144</v>
      </c>
      <c r="D8" s="526">
        <v>0</v>
      </c>
      <c r="E8" s="527">
        <v>803</v>
      </c>
      <c r="F8" s="527">
        <v>8.56</v>
      </c>
      <c r="G8" s="527">
        <v>0</v>
      </c>
      <c r="H8" s="528">
        <v>0</v>
      </c>
      <c r="I8" s="529" t="s">
        <v>185</v>
      </c>
      <c r="J8" s="530">
        <f>(G8*150)+4200+3.75*E8</f>
        <v>7211.25</v>
      </c>
      <c r="K8" s="531"/>
      <c r="L8" s="490"/>
      <c r="M8" s="364">
        <v>0</v>
      </c>
      <c r="N8" s="395">
        <f>D8-M8</f>
        <v>0</v>
      </c>
      <c r="P8" s="377">
        <v>0</v>
      </c>
      <c r="Q8" s="487">
        <f>G8-P8</f>
        <v>0</v>
      </c>
    </row>
    <row r="9" spans="1:17" ht="18" customHeight="1">
      <c r="A9" s="532" t="s">
        <v>147</v>
      </c>
      <c r="B9" s="533"/>
      <c r="C9" s="534"/>
      <c r="D9" s="535"/>
      <c r="E9" s="536"/>
      <c r="F9" s="536"/>
      <c r="G9" s="536"/>
      <c r="H9" s="535"/>
      <c r="I9" s="537"/>
      <c r="J9" s="538"/>
      <c r="K9" s="539"/>
      <c r="L9" s="490"/>
      <c r="M9" s="398"/>
      <c r="N9" s="395"/>
      <c r="P9" s="378"/>
      <c r="Q9" s="487"/>
    </row>
    <row r="10" spans="1:17" ht="18" customHeight="1">
      <c r="A10" s="503" t="s">
        <v>223</v>
      </c>
      <c r="B10" s="504"/>
      <c r="C10" s="505" t="s">
        <v>127</v>
      </c>
      <c r="D10" s="506">
        <v>0</v>
      </c>
      <c r="E10" s="507">
        <v>2785</v>
      </c>
      <c r="F10" s="507">
        <v>0</v>
      </c>
      <c r="G10" s="507">
        <v>0</v>
      </c>
      <c r="H10" s="513">
        <v>0</v>
      </c>
      <c r="I10" s="508" t="s">
        <v>185</v>
      </c>
      <c r="J10" s="524">
        <f>(G10*150)+4200+(3.75*E10)</f>
        <v>14643.75</v>
      </c>
      <c r="K10" s="510"/>
      <c r="L10" s="490"/>
      <c r="M10" s="360">
        <v>0</v>
      </c>
      <c r="N10" s="395">
        <f>D10-M10</f>
        <v>0</v>
      </c>
      <c r="P10" s="374">
        <v>0</v>
      </c>
      <c r="Q10" s="487">
        <f>G10-P10</f>
        <v>0</v>
      </c>
    </row>
    <row r="11" spans="1:17" ht="18" customHeight="1">
      <c r="A11" s="503" t="s">
        <v>224</v>
      </c>
      <c r="B11" s="504"/>
      <c r="C11" s="505" t="s">
        <v>128</v>
      </c>
      <c r="D11" s="506">
        <v>0</v>
      </c>
      <c r="E11" s="507">
        <v>682.8</v>
      </c>
      <c r="F11" s="507">
        <v>0</v>
      </c>
      <c r="G11" s="507">
        <v>0</v>
      </c>
      <c r="H11" s="506">
        <v>0</v>
      </c>
      <c r="I11" s="508" t="s">
        <v>185</v>
      </c>
      <c r="J11" s="524">
        <f>(G11*150)+4200+(3.75*E11)</f>
        <v>6760.5</v>
      </c>
      <c r="K11" s="510"/>
      <c r="L11" s="490"/>
      <c r="M11" s="360">
        <v>0</v>
      </c>
      <c r="N11" s="395">
        <f>D11-M11</f>
        <v>0</v>
      </c>
      <c r="P11" s="374">
        <v>0</v>
      </c>
      <c r="Q11" s="487">
        <f>G11-P11</f>
        <v>0</v>
      </c>
    </row>
    <row r="12" spans="1:17" ht="18" customHeight="1" thickBot="1">
      <c r="A12" s="503" t="s">
        <v>225</v>
      </c>
      <c r="B12" s="504"/>
      <c r="C12" s="505" t="s">
        <v>177</v>
      </c>
      <c r="D12" s="540">
        <v>0</v>
      </c>
      <c r="E12" s="541">
        <v>536.20000000000005</v>
      </c>
      <c r="F12" s="541">
        <v>0</v>
      </c>
      <c r="G12" s="541">
        <v>0</v>
      </c>
      <c r="H12" s="542">
        <v>0</v>
      </c>
      <c r="I12" s="543" t="s">
        <v>185</v>
      </c>
      <c r="J12" s="544">
        <f>(G12*150)+4200+(3.75*E12)</f>
        <v>6210.75</v>
      </c>
      <c r="K12" s="545"/>
      <c r="L12" s="490"/>
      <c r="M12" s="361">
        <v>0</v>
      </c>
      <c r="N12" s="395">
        <f>D12-M12</f>
        <v>0</v>
      </c>
      <c r="P12" s="379">
        <v>0</v>
      </c>
      <c r="Q12" s="487">
        <f>G12-P12</f>
        <v>0</v>
      </c>
    </row>
    <row r="13" spans="1:17" ht="18" customHeight="1" thickTop="1">
      <c r="A13" s="514"/>
      <c r="B13" s="515"/>
      <c r="C13" s="516" t="s">
        <v>167</v>
      </c>
      <c r="D13" s="546">
        <f>SUM(D10:D12)</f>
        <v>0</v>
      </c>
      <c r="E13" s="547">
        <f>SUM(E10:E12)</f>
        <v>4004</v>
      </c>
      <c r="F13" s="547">
        <f>SUM(F10:F12)</f>
        <v>0</v>
      </c>
      <c r="G13" s="547">
        <f>SUM(G10:G12)</f>
        <v>0</v>
      </c>
      <c r="H13" s="546">
        <f>SUM(H10:H12)</f>
        <v>0</v>
      </c>
      <c r="I13" s="548" t="s">
        <v>185</v>
      </c>
      <c r="J13" s="549">
        <f>SUM(J10:J12)</f>
        <v>27615</v>
      </c>
      <c r="K13" s="550"/>
      <c r="L13" s="490"/>
      <c r="M13" s="388">
        <f>SUM(M10:M12)</f>
        <v>0</v>
      </c>
      <c r="N13" s="395">
        <f>D13-M13</f>
        <v>0</v>
      </c>
      <c r="P13" s="363">
        <f>SUM(P10:P12)</f>
        <v>0</v>
      </c>
      <c r="Q13" s="487">
        <f>G13-P13</f>
        <v>0</v>
      </c>
    </row>
    <row r="14" spans="1:17" ht="18" customHeight="1">
      <c r="A14" s="532" t="s">
        <v>72</v>
      </c>
      <c r="B14" s="533"/>
      <c r="C14" s="534"/>
      <c r="D14" s="535"/>
      <c r="E14" s="536"/>
      <c r="F14" s="536"/>
      <c r="G14" s="536"/>
      <c r="H14" s="535"/>
      <c r="I14" s="537"/>
      <c r="J14" s="538"/>
      <c r="K14" s="539"/>
      <c r="L14" s="490"/>
      <c r="M14" s="398"/>
      <c r="N14" s="395"/>
      <c r="P14" s="378"/>
      <c r="Q14" s="487"/>
    </row>
    <row r="15" spans="1:17" ht="18" customHeight="1">
      <c r="A15" s="551" t="s">
        <v>226</v>
      </c>
      <c r="B15" s="552"/>
      <c r="C15" s="525" t="s">
        <v>131</v>
      </c>
      <c r="D15" s="526">
        <v>0</v>
      </c>
      <c r="E15" s="527">
        <v>437</v>
      </c>
      <c r="F15" s="527">
        <v>0</v>
      </c>
      <c r="G15" s="527">
        <v>0</v>
      </c>
      <c r="H15" s="528">
        <v>0</v>
      </c>
      <c r="I15" s="529" t="s">
        <v>185</v>
      </c>
      <c r="J15" s="530">
        <f>(G15*150)+4200+3.75*E15</f>
        <v>5838.75</v>
      </c>
      <c r="K15" s="531"/>
      <c r="L15" s="490"/>
      <c r="M15" s="364">
        <v>0</v>
      </c>
      <c r="N15" s="395">
        <f>D15-M15</f>
        <v>0</v>
      </c>
      <c r="P15" s="377">
        <v>0</v>
      </c>
      <c r="Q15" s="487">
        <f>G15-P15</f>
        <v>0</v>
      </c>
    </row>
    <row r="16" spans="1:17" ht="18" customHeight="1">
      <c r="A16" s="532" t="s">
        <v>180</v>
      </c>
      <c r="B16" s="533"/>
      <c r="C16" s="534"/>
      <c r="D16" s="535"/>
      <c r="E16" s="536"/>
      <c r="F16" s="536"/>
      <c r="G16" s="536"/>
      <c r="H16" s="535"/>
      <c r="I16" s="537"/>
      <c r="J16" s="538"/>
      <c r="K16" s="539"/>
      <c r="L16" s="490"/>
      <c r="M16" s="398"/>
      <c r="N16" s="395"/>
      <c r="P16" s="378"/>
      <c r="Q16" s="487"/>
    </row>
    <row r="17" spans="1:17" ht="18" customHeight="1">
      <c r="A17" s="503" t="s">
        <v>227</v>
      </c>
      <c r="B17" s="504"/>
      <c r="C17" s="505" t="s">
        <v>132</v>
      </c>
      <c r="D17" s="506">
        <v>1630993</v>
      </c>
      <c r="E17" s="507">
        <v>17366.400000000001</v>
      </c>
      <c r="F17" s="507">
        <v>133.4</v>
      </c>
      <c r="G17" s="507">
        <v>99.1</v>
      </c>
      <c r="H17" s="506">
        <f>D17/G17</f>
        <v>16458.052472250252</v>
      </c>
      <c r="I17" s="508" t="s">
        <v>185</v>
      </c>
      <c r="J17" s="524">
        <f>(G17*150)+4200+3.75*E17</f>
        <v>84189</v>
      </c>
      <c r="K17" s="510"/>
      <c r="L17" s="490"/>
      <c r="M17" s="360">
        <v>2795814</v>
      </c>
      <c r="N17" s="395">
        <f>D17-M17</f>
        <v>-1164821</v>
      </c>
      <c r="P17" s="374">
        <v>144.69999999999999</v>
      </c>
      <c r="Q17" s="487">
        <f>G17-P17</f>
        <v>-45.599999999999994</v>
      </c>
    </row>
    <row r="18" spans="1:17" ht="18" customHeight="1" thickBot="1">
      <c r="A18" s="503">
        <v>47</v>
      </c>
      <c r="B18" s="504"/>
      <c r="C18" s="505" t="s">
        <v>157</v>
      </c>
      <c r="D18" s="540">
        <v>5169675</v>
      </c>
      <c r="E18" s="541">
        <v>3592.1</v>
      </c>
      <c r="F18" s="541">
        <v>497.1</v>
      </c>
      <c r="G18" s="541">
        <v>322.60000000000002</v>
      </c>
      <c r="H18" s="540">
        <f>D18/G18</f>
        <v>16025.03099814011</v>
      </c>
      <c r="I18" s="553" t="s">
        <v>185</v>
      </c>
      <c r="J18" s="544">
        <f>ROUNDUP((G18*150)+4200+3.75*E18,2)</f>
        <v>66060.37999999999</v>
      </c>
      <c r="K18" s="554"/>
      <c r="L18" s="490"/>
      <c r="M18" s="361">
        <v>3987509</v>
      </c>
      <c r="N18" s="395">
        <f>D18-M18</f>
        <v>1182166</v>
      </c>
      <c r="P18" s="379">
        <v>301</v>
      </c>
      <c r="Q18" s="487">
        <f>G18-P18</f>
        <v>21.600000000000023</v>
      </c>
    </row>
    <row r="19" spans="1:17" ht="18" customHeight="1" thickTop="1">
      <c r="A19" s="514"/>
      <c r="B19" s="515"/>
      <c r="C19" s="516" t="s">
        <v>188</v>
      </c>
      <c r="D19" s="546">
        <f>SUM(D17:D18)</f>
        <v>6800668</v>
      </c>
      <c r="E19" s="547">
        <f>SUM(E17:E18)</f>
        <v>20958.5</v>
      </c>
      <c r="F19" s="547">
        <f>SUM(F17:F18)</f>
        <v>630.5</v>
      </c>
      <c r="G19" s="547">
        <f>SUM(G17:G18)</f>
        <v>421.70000000000005</v>
      </c>
      <c r="H19" s="546">
        <f>D19/G19</f>
        <v>16126.791557979604</v>
      </c>
      <c r="I19" s="555" t="s">
        <v>185</v>
      </c>
      <c r="J19" s="556">
        <f>SUM(J17:J18)</f>
        <v>150249.38</v>
      </c>
      <c r="K19" s="557"/>
      <c r="L19" s="490"/>
      <c r="M19" s="388">
        <f>SUM(M17:M18)</f>
        <v>6783323</v>
      </c>
      <c r="N19" s="395">
        <f>D19-M19</f>
        <v>17345</v>
      </c>
      <c r="P19" s="363">
        <f>SUM(P17:P18)</f>
        <v>445.7</v>
      </c>
      <c r="Q19" s="487">
        <f>G19-P19</f>
        <v>-23.999999999999943</v>
      </c>
    </row>
    <row r="20" spans="1:17" ht="18" customHeight="1">
      <c r="A20" s="532" t="s">
        <v>75</v>
      </c>
      <c r="B20" s="533"/>
      <c r="C20" s="534"/>
      <c r="D20" s="535"/>
      <c r="E20" s="536"/>
      <c r="F20" s="536"/>
      <c r="G20" s="536"/>
      <c r="H20" s="535"/>
      <c r="I20" s="537"/>
      <c r="J20" s="538"/>
      <c r="K20" s="539"/>
      <c r="L20" s="490"/>
      <c r="M20" s="398"/>
      <c r="N20" s="395"/>
      <c r="P20" s="378"/>
      <c r="Q20" s="487"/>
    </row>
    <row r="21" spans="1:17" ht="18" customHeight="1">
      <c r="A21" s="551" t="s">
        <v>228</v>
      </c>
      <c r="B21" s="552"/>
      <c r="C21" s="525" t="s">
        <v>216</v>
      </c>
      <c r="D21" s="526">
        <v>4153485</v>
      </c>
      <c r="E21" s="527">
        <v>18374.3</v>
      </c>
      <c r="F21" s="527">
        <v>659.7</v>
      </c>
      <c r="G21" s="527">
        <v>338.3</v>
      </c>
      <c r="H21" s="526">
        <f>D21/G21</f>
        <v>12277.519952704699</v>
      </c>
      <c r="I21" s="529" t="s">
        <v>185</v>
      </c>
      <c r="J21" s="530">
        <f>ROUNDUP((G21*150)+4200+(3.75*E21),0)</f>
        <v>123849</v>
      </c>
      <c r="K21" s="531"/>
      <c r="L21" s="490"/>
      <c r="M21" s="364">
        <v>3972626</v>
      </c>
      <c r="N21" s="395">
        <f>D21-M21</f>
        <v>180859</v>
      </c>
      <c r="P21" s="377">
        <v>305.60000000000002</v>
      </c>
      <c r="Q21" s="487">
        <f>G21-P21</f>
        <v>32.699999999999989</v>
      </c>
    </row>
    <row r="22" spans="1:17" ht="18" customHeight="1">
      <c r="A22" s="532" t="s">
        <v>77</v>
      </c>
      <c r="B22" s="533"/>
      <c r="C22" s="534"/>
      <c r="D22" s="535"/>
      <c r="E22" s="536"/>
      <c r="F22" s="536"/>
      <c r="G22" s="536"/>
      <c r="H22" s="535"/>
      <c r="I22" s="537"/>
      <c r="J22" s="538"/>
      <c r="K22" s="539"/>
      <c r="L22" s="490"/>
      <c r="M22" s="398"/>
      <c r="N22" s="395"/>
      <c r="P22" s="378"/>
      <c r="Q22" s="487"/>
    </row>
    <row r="23" spans="1:17" ht="18" customHeight="1">
      <c r="A23" s="551" t="s">
        <v>229</v>
      </c>
      <c r="B23" s="552"/>
      <c r="C23" s="525" t="s">
        <v>151</v>
      </c>
      <c r="D23" s="526">
        <v>2899523</v>
      </c>
      <c r="E23" s="527">
        <v>10505</v>
      </c>
      <c r="F23" s="527">
        <v>114.2</v>
      </c>
      <c r="G23" s="527">
        <v>196.8</v>
      </c>
      <c r="H23" s="526">
        <f>D23/G23</f>
        <v>14733.348577235771</v>
      </c>
      <c r="I23" s="529" t="s">
        <v>185</v>
      </c>
      <c r="J23" s="530">
        <f>(G23*150)+4200+(3.75*E23)</f>
        <v>73113.75</v>
      </c>
      <c r="K23" s="531"/>
      <c r="L23" s="490"/>
      <c r="M23" s="364">
        <v>3673367</v>
      </c>
      <c r="N23" s="395">
        <f>D23-M23</f>
        <v>-773844</v>
      </c>
      <c r="P23" s="377">
        <v>251.2</v>
      </c>
      <c r="Q23" s="487">
        <f>G23-P23</f>
        <v>-54.399999999999977</v>
      </c>
    </row>
    <row r="24" spans="1:17" ht="18" customHeight="1">
      <c r="A24" s="532" t="s">
        <v>78</v>
      </c>
      <c r="B24" s="533"/>
      <c r="C24" s="534"/>
      <c r="D24" s="535"/>
      <c r="E24" s="536"/>
      <c r="F24" s="536"/>
      <c r="G24" s="536"/>
      <c r="H24" s="535"/>
      <c r="I24" s="537"/>
      <c r="J24" s="538"/>
      <c r="K24" s="539"/>
      <c r="L24" s="490"/>
      <c r="M24" s="398"/>
      <c r="N24" s="395"/>
      <c r="P24" s="378"/>
      <c r="Q24" s="487"/>
    </row>
    <row r="25" spans="1:17" ht="18" customHeight="1">
      <c r="A25" s="503" t="s">
        <v>230</v>
      </c>
      <c r="B25" s="504"/>
      <c r="C25" s="505" t="s">
        <v>134</v>
      </c>
      <c r="D25" s="506">
        <v>0</v>
      </c>
      <c r="E25" s="507">
        <v>6384.7</v>
      </c>
      <c r="F25" s="507">
        <v>0</v>
      </c>
      <c r="G25" s="507">
        <v>0</v>
      </c>
      <c r="H25" s="506">
        <v>0</v>
      </c>
      <c r="I25" s="508" t="s">
        <v>185</v>
      </c>
      <c r="J25" s="524">
        <f>(G25*150)+4200+3.75*E25</f>
        <v>28142.625</v>
      </c>
      <c r="K25" s="510"/>
      <c r="L25" s="490"/>
      <c r="M25" s="360">
        <v>0</v>
      </c>
      <c r="N25" s="395">
        <f>D25-M25</f>
        <v>0</v>
      </c>
      <c r="P25" s="374">
        <v>0</v>
      </c>
      <c r="Q25" s="487">
        <f>G25-P25</f>
        <v>0</v>
      </c>
    </row>
    <row r="26" spans="1:17" ht="18" customHeight="1" thickBot="1">
      <c r="A26" s="503" t="s">
        <v>231</v>
      </c>
      <c r="B26" s="504"/>
      <c r="C26" s="505" t="s">
        <v>178</v>
      </c>
      <c r="D26" s="540">
        <v>0</v>
      </c>
      <c r="E26" s="541">
        <v>2257</v>
      </c>
      <c r="F26" s="541">
        <v>0</v>
      </c>
      <c r="G26" s="541">
        <v>0</v>
      </c>
      <c r="H26" s="540">
        <v>0</v>
      </c>
      <c r="I26" s="553" t="s">
        <v>185</v>
      </c>
      <c r="J26" s="544">
        <f>(G26*150)+4200+3.75*E26</f>
        <v>12663.75</v>
      </c>
      <c r="K26" s="554"/>
      <c r="L26" s="490"/>
      <c r="M26" s="361">
        <v>0</v>
      </c>
      <c r="N26" s="395">
        <f>D26-M26</f>
        <v>0</v>
      </c>
      <c r="P26" s="379">
        <v>0</v>
      </c>
      <c r="Q26" s="487">
        <f>G26-P26</f>
        <v>0</v>
      </c>
    </row>
    <row r="27" spans="1:17" ht="18" customHeight="1" thickTop="1">
      <c r="A27" s="514"/>
      <c r="B27" s="515"/>
      <c r="C27" s="516" t="s">
        <v>168</v>
      </c>
      <c r="D27" s="546">
        <f>SUM(D25:D26)</f>
        <v>0</v>
      </c>
      <c r="E27" s="547">
        <f>SUM(E25:E26)</f>
        <v>8641.7000000000007</v>
      </c>
      <c r="F27" s="547">
        <f>SUM(F25:F26)</f>
        <v>0</v>
      </c>
      <c r="G27" s="547">
        <f>SUM(G25:G26)</f>
        <v>0</v>
      </c>
      <c r="H27" s="546">
        <v>0</v>
      </c>
      <c r="I27" s="548" t="s">
        <v>185</v>
      </c>
      <c r="J27" s="558">
        <f>SUM(J25:J26)</f>
        <v>40806.375</v>
      </c>
      <c r="K27" s="550"/>
      <c r="L27" s="490"/>
      <c r="M27" s="388">
        <f>SUM(M25:M26)</f>
        <v>0</v>
      </c>
      <c r="N27" s="395">
        <f>D27-M27</f>
        <v>0</v>
      </c>
      <c r="P27" s="363">
        <f>SUM(P25:P26)</f>
        <v>0</v>
      </c>
      <c r="Q27" s="487">
        <f>G27-P27</f>
        <v>0</v>
      </c>
    </row>
    <row r="28" spans="1:17" ht="18" customHeight="1">
      <c r="A28" s="532" t="s">
        <v>219</v>
      </c>
      <c r="B28" s="533"/>
      <c r="C28" s="534"/>
      <c r="D28" s="535"/>
      <c r="E28" s="536"/>
      <c r="F28" s="536"/>
      <c r="G28" s="536"/>
      <c r="H28" s="535"/>
      <c r="I28" s="537"/>
      <c r="J28" s="538"/>
      <c r="K28" s="539"/>
      <c r="L28" s="490"/>
      <c r="M28" s="398"/>
      <c r="N28" s="395"/>
      <c r="P28" s="378"/>
      <c r="Q28" s="487"/>
    </row>
    <row r="29" spans="1:17" ht="18" customHeight="1">
      <c r="A29" s="503" t="s">
        <v>232</v>
      </c>
      <c r="B29" s="504"/>
      <c r="C29" s="505" t="s">
        <v>136</v>
      </c>
      <c r="D29" s="506">
        <v>3515809</v>
      </c>
      <c r="E29" s="507">
        <v>7299</v>
      </c>
      <c r="F29" s="507">
        <v>64</v>
      </c>
      <c r="G29" s="507">
        <v>169</v>
      </c>
      <c r="H29" s="506">
        <f>D29/G29</f>
        <v>20803.603550295858</v>
      </c>
      <c r="I29" s="508" t="s">
        <v>185</v>
      </c>
      <c r="J29" s="524">
        <f t="shared" ref="J29:J35" si="0">(G29*150)+4200+3.75*E29</f>
        <v>56921.25</v>
      </c>
      <c r="K29" s="510"/>
      <c r="L29" s="490"/>
      <c r="M29" s="360">
        <v>4504525</v>
      </c>
      <c r="N29" s="395">
        <f t="shared" ref="N29:N39" si="1">D29-M29</f>
        <v>-988716</v>
      </c>
      <c r="P29" s="374">
        <v>224</v>
      </c>
      <c r="Q29" s="487">
        <f t="shared" ref="Q29:Q36" si="2">G29-P29</f>
        <v>-55</v>
      </c>
    </row>
    <row r="30" spans="1:17" ht="18" customHeight="1">
      <c r="A30" s="503" t="s">
        <v>233</v>
      </c>
      <c r="B30" s="504"/>
      <c r="C30" s="505" t="s">
        <v>143</v>
      </c>
      <c r="D30" s="506">
        <v>7677112</v>
      </c>
      <c r="E30" s="507">
        <v>23490</v>
      </c>
      <c r="F30" s="507">
        <v>181</v>
      </c>
      <c r="G30" s="507">
        <v>617</v>
      </c>
      <c r="H30" s="506">
        <f>D30/G30</f>
        <v>12442.645056726094</v>
      </c>
      <c r="I30" s="508" t="s">
        <v>185</v>
      </c>
      <c r="J30" s="524">
        <f t="shared" si="0"/>
        <v>184837.5</v>
      </c>
      <c r="K30" s="510"/>
      <c r="L30" s="490"/>
      <c r="M30" s="360">
        <v>7419598</v>
      </c>
      <c r="N30" s="395">
        <f t="shared" si="1"/>
        <v>257514</v>
      </c>
      <c r="P30" s="374">
        <v>616.17999999999995</v>
      </c>
      <c r="Q30" s="487">
        <f t="shared" si="2"/>
        <v>0.82000000000005002</v>
      </c>
    </row>
    <row r="31" spans="1:17" ht="18" customHeight="1">
      <c r="A31" s="503" t="s">
        <v>234</v>
      </c>
      <c r="B31" s="504"/>
      <c r="C31" s="505" t="s">
        <v>137</v>
      </c>
      <c r="D31" s="506">
        <v>3761434</v>
      </c>
      <c r="E31" s="507">
        <v>22309</v>
      </c>
      <c r="F31" s="507">
        <v>160.19999999999999</v>
      </c>
      <c r="G31" s="507">
        <v>294.7</v>
      </c>
      <c r="H31" s="506">
        <f>D31/G31</f>
        <v>12763.603664743809</v>
      </c>
      <c r="I31" s="508" t="s">
        <v>185</v>
      </c>
      <c r="J31" s="524">
        <f t="shared" si="0"/>
        <v>132063.75</v>
      </c>
      <c r="K31" s="510"/>
      <c r="L31" s="490"/>
      <c r="M31" s="360">
        <v>4973475</v>
      </c>
      <c r="N31" s="395">
        <f t="shared" si="1"/>
        <v>-1212041</v>
      </c>
      <c r="P31" s="374">
        <v>435.95</v>
      </c>
      <c r="Q31" s="487">
        <f t="shared" si="2"/>
        <v>-141.25</v>
      </c>
    </row>
    <row r="32" spans="1:17" ht="18" customHeight="1">
      <c r="A32" s="503" t="s">
        <v>235</v>
      </c>
      <c r="B32" s="504"/>
      <c r="C32" s="505" t="s">
        <v>155</v>
      </c>
      <c r="D32" s="506">
        <v>3502720</v>
      </c>
      <c r="E32" s="507">
        <v>16867</v>
      </c>
      <c r="F32" s="507">
        <v>203.9</v>
      </c>
      <c r="G32" s="507">
        <v>226.4</v>
      </c>
      <c r="H32" s="506">
        <f>D32/G32</f>
        <v>15471.378091872792</v>
      </c>
      <c r="I32" s="508" t="s">
        <v>185</v>
      </c>
      <c r="J32" s="524">
        <f t="shared" si="0"/>
        <v>101411.25</v>
      </c>
      <c r="K32" s="510"/>
      <c r="L32" s="490"/>
      <c r="M32" s="360">
        <v>3592661</v>
      </c>
      <c r="N32" s="395">
        <f t="shared" si="1"/>
        <v>-89941</v>
      </c>
      <c r="P32" s="374">
        <v>230.59</v>
      </c>
      <c r="Q32" s="487">
        <f t="shared" si="2"/>
        <v>-4.1899999999999977</v>
      </c>
    </row>
    <row r="33" spans="1:18" ht="18" customHeight="1">
      <c r="A33" s="503" t="s">
        <v>236</v>
      </c>
      <c r="B33" s="504"/>
      <c r="C33" s="505" t="s">
        <v>239</v>
      </c>
      <c r="D33" s="506">
        <v>2090370</v>
      </c>
      <c r="E33" s="507">
        <v>2831</v>
      </c>
      <c r="F33" s="507">
        <v>107.2</v>
      </c>
      <c r="G33" s="507">
        <v>86.2</v>
      </c>
      <c r="H33" s="506">
        <f>D33/G33</f>
        <v>24250.232018561484</v>
      </c>
      <c r="I33" s="508" t="s">
        <v>185</v>
      </c>
      <c r="J33" s="524">
        <f t="shared" si="0"/>
        <v>27746.25</v>
      </c>
      <c r="K33" s="510"/>
      <c r="L33" s="490"/>
      <c r="M33" s="360">
        <v>2470315</v>
      </c>
      <c r="N33" s="395">
        <f t="shared" si="1"/>
        <v>-379945</v>
      </c>
      <c r="P33" s="374">
        <v>105</v>
      </c>
      <c r="Q33" s="487">
        <f t="shared" si="2"/>
        <v>-18.799999999999997</v>
      </c>
    </row>
    <row r="34" spans="1:18" ht="18" customHeight="1">
      <c r="A34" s="503">
        <v>49</v>
      </c>
      <c r="B34" s="504"/>
      <c r="C34" s="505" t="s">
        <v>183</v>
      </c>
      <c r="D34" s="506">
        <v>0</v>
      </c>
      <c r="E34" s="507">
        <v>3370</v>
      </c>
      <c r="F34" s="507">
        <v>0</v>
      </c>
      <c r="G34" s="507">
        <v>0</v>
      </c>
      <c r="H34" s="506">
        <v>0</v>
      </c>
      <c r="I34" s="508" t="s">
        <v>185</v>
      </c>
      <c r="J34" s="524">
        <f>(G34*150)+4200+3.75*E34</f>
        <v>16837.5</v>
      </c>
      <c r="K34" s="510"/>
      <c r="L34" s="490"/>
      <c r="M34" s="360">
        <v>0</v>
      </c>
      <c r="N34" s="395">
        <f t="shared" si="1"/>
        <v>0</v>
      </c>
      <c r="P34" s="374">
        <v>0</v>
      </c>
      <c r="Q34" s="487">
        <f t="shared" si="2"/>
        <v>0</v>
      </c>
    </row>
    <row r="35" spans="1:18" ht="18" customHeight="1" thickBot="1">
      <c r="A35" s="503">
        <v>50</v>
      </c>
      <c r="B35" s="504"/>
      <c r="C35" s="505" t="s">
        <v>217</v>
      </c>
      <c r="D35" s="506">
        <v>196806</v>
      </c>
      <c r="E35" s="507">
        <v>3908</v>
      </c>
      <c r="F35" s="507">
        <v>790</v>
      </c>
      <c r="G35" s="541">
        <v>19</v>
      </c>
      <c r="H35" s="559">
        <f>D35/G35</f>
        <v>10358.21052631579</v>
      </c>
      <c r="I35" s="553" t="s">
        <v>185</v>
      </c>
      <c r="J35" s="544">
        <f t="shared" si="0"/>
        <v>21705</v>
      </c>
      <c r="K35" s="554"/>
      <c r="L35" s="490"/>
      <c r="M35" s="360">
        <v>0</v>
      </c>
      <c r="N35" s="395">
        <f t="shared" si="1"/>
        <v>196806</v>
      </c>
      <c r="P35" s="379">
        <v>0</v>
      </c>
      <c r="Q35" s="487">
        <f t="shared" si="2"/>
        <v>19</v>
      </c>
    </row>
    <row r="36" spans="1:18" ht="18" customHeight="1" thickTop="1">
      <c r="A36" s="514"/>
      <c r="B36" s="515"/>
      <c r="C36" s="516" t="s">
        <v>221</v>
      </c>
      <c r="D36" s="560">
        <f>SUM(D29:D35)</f>
        <v>20744251</v>
      </c>
      <c r="E36" s="561">
        <f>SUM(E29:E35)</f>
        <v>80074</v>
      </c>
      <c r="F36" s="561">
        <f>SUM(F29:F35)</f>
        <v>1506.3000000000002</v>
      </c>
      <c r="G36" s="561">
        <f>SUM(G29:G35)</f>
        <v>1412.3000000000002</v>
      </c>
      <c r="H36" s="560">
        <f>D36/G36</f>
        <v>14688.275154004104</v>
      </c>
      <c r="I36" s="548" t="s">
        <v>185</v>
      </c>
      <c r="J36" s="549">
        <f>SUM(J29:J35)</f>
        <v>541522.5</v>
      </c>
      <c r="K36" s="550"/>
      <c r="L36" s="490"/>
      <c r="M36" s="385">
        <f>SUM(M29:M35)</f>
        <v>22960574</v>
      </c>
      <c r="N36" s="395">
        <f t="shared" si="1"/>
        <v>-2216323</v>
      </c>
      <c r="P36" s="371">
        <f>SUM(P29:P35)</f>
        <v>1611.7199999999998</v>
      </c>
      <c r="Q36" s="487">
        <f t="shared" si="2"/>
        <v>-199.41999999999962</v>
      </c>
    </row>
    <row r="37" spans="1:18" ht="18" customHeight="1">
      <c r="A37" s="532" t="s">
        <v>86</v>
      </c>
      <c r="B37" s="533"/>
      <c r="C37" s="534"/>
      <c r="D37" s="506"/>
      <c r="E37" s="507"/>
      <c r="F37" s="507"/>
      <c r="G37" s="536"/>
      <c r="H37" s="535"/>
      <c r="I37" s="537"/>
      <c r="J37" s="538"/>
      <c r="K37" s="539"/>
      <c r="L37" s="490"/>
      <c r="M37" s="360"/>
      <c r="N37" s="395">
        <f t="shared" si="1"/>
        <v>0</v>
      </c>
      <c r="P37" s="378"/>
      <c r="Q37" s="487"/>
    </row>
    <row r="38" spans="1:18" ht="18" customHeight="1" thickBot="1">
      <c r="A38" s="562" t="s">
        <v>237</v>
      </c>
      <c r="B38" s="563"/>
      <c r="C38" s="564" t="s">
        <v>139</v>
      </c>
      <c r="D38" s="540">
        <v>1902877</v>
      </c>
      <c r="E38" s="541">
        <v>4129</v>
      </c>
      <c r="F38" s="541">
        <v>77.2</v>
      </c>
      <c r="G38" s="541">
        <v>121.8</v>
      </c>
      <c r="H38" s="540">
        <f>D38/G38</f>
        <v>15622.963875205254</v>
      </c>
      <c r="I38" s="553" t="s">
        <v>185</v>
      </c>
      <c r="J38" s="544">
        <f>(G38*150)+4200+3.75*E38</f>
        <v>37953.75</v>
      </c>
      <c r="K38" s="554"/>
      <c r="L38" s="490"/>
      <c r="M38" s="361">
        <v>1788496</v>
      </c>
      <c r="N38" s="395">
        <f t="shared" si="1"/>
        <v>114381</v>
      </c>
      <c r="P38" s="379">
        <v>97.1</v>
      </c>
      <c r="Q38" s="487">
        <f>G38-P38</f>
        <v>24.700000000000003</v>
      </c>
    </row>
    <row r="39" spans="1:18" ht="27.75" customHeight="1" thickTop="1" thickBot="1">
      <c r="A39" s="2060" t="s">
        <v>44</v>
      </c>
      <c r="B39" s="2061"/>
      <c r="C39" s="2062"/>
      <c r="D39" s="565">
        <f>SUM(D6,D8,D13,D15,D19,D21,D23,D27,D36,D38)</f>
        <v>40785403</v>
      </c>
      <c r="E39" s="566">
        <f>SUM(E6,E8,E13,E15,E19,E21,E23,E27,E36,E38)</f>
        <v>180655.5</v>
      </c>
      <c r="F39" s="566">
        <f>SUM(F6,F8,F13,F15,F19,F21,F23,F27,F36,F38)</f>
        <v>3152.46</v>
      </c>
      <c r="G39" s="566">
        <f>SUM(G6,G8,G13,G15,G19,G21,G23,G27,G36,G38)</f>
        <v>2655.9000000000005</v>
      </c>
      <c r="H39" s="565">
        <f>D39/G39</f>
        <v>15356.528107232951</v>
      </c>
      <c r="I39" s="567" t="s">
        <v>185</v>
      </c>
      <c r="J39" s="492">
        <f>(J6+J8+J13+J15+J19+J21+J23+J27+J36+J38)</f>
        <v>1164043.5049999999</v>
      </c>
      <c r="K39" s="568"/>
      <c r="M39" s="368">
        <f>SUM(M6,M13,M15,M19,M21,M23,M27,M36,M38)</f>
        <v>46128231</v>
      </c>
      <c r="N39" s="395">
        <f t="shared" si="1"/>
        <v>-5342828</v>
      </c>
      <c r="O39" s="485">
        <f>N39/M39</f>
        <v>-0.115825555937751</v>
      </c>
      <c r="P39" s="369">
        <f>SUM(P6,P8,P13,P15,P19,P21,P23,P27,P36,P38)</f>
        <v>3166.52</v>
      </c>
      <c r="Q39" s="487">
        <f>G39-P39</f>
        <v>-510.61999999999944</v>
      </c>
      <c r="R39" s="485">
        <f>Q39/P39</f>
        <v>-0.16125588974647229</v>
      </c>
    </row>
    <row r="40" spans="1:18" ht="18" customHeight="1">
      <c r="G40" s="391"/>
      <c r="H40" s="401"/>
      <c r="I40" s="417"/>
      <c r="K40" s="417"/>
      <c r="P40" s="390"/>
    </row>
    <row r="43" spans="1:18" ht="18" customHeight="1">
      <c r="F43" s="484"/>
    </row>
  </sheetData>
  <mergeCells count="15">
    <mergeCell ref="Q1:Q2"/>
    <mergeCell ref="M1:M2"/>
    <mergeCell ref="J1:J2"/>
    <mergeCell ref="I1:I2"/>
    <mergeCell ref="P1:P2"/>
    <mergeCell ref="N1:N2"/>
    <mergeCell ref="K1:K2"/>
    <mergeCell ref="A39:C39"/>
    <mergeCell ref="F1:F2"/>
    <mergeCell ref="G1:G2"/>
    <mergeCell ref="H1:H2"/>
    <mergeCell ref="A1:A2"/>
    <mergeCell ref="C1:C2"/>
    <mergeCell ref="D1:D2"/>
    <mergeCell ref="E1:E2"/>
  </mergeCells>
  <phoneticPr fontId="0" type="noConversion"/>
  <pageMargins left="0.76" right="0.21" top="0.83" bottom="0.64" header="0.5" footer="0.38"/>
  <pageSetup scale="72" orientation="landscape" r:id="rId1"/>
  <headerFooter alignWithMargins="0">
    <oddHeader xml:space="preserve">&amp;C&amp;"Arial,Bold"&amp;14 2007 Annual Coal Production Report and Fee Payment Summary </oddHeader>
    <oddFooter>&amp;L&amp;D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8"/>
  <sheetViews>
    <sheetView zoomScale="70" zoomScaleNormal="70" workbookViewId="0">
      <pane ySplit="2" topLeftCell="A3" activePane="bottomLeft" state="frozen"/>
      <selection pane="bottomLeft" sqref="A1:A2"/>
    </sheetView>
  </sheetViews>
  <sheetFormatPr defaultColWidth="9.140625" defaultRowHeight="18" customHeight="1"/>
  <cols>
    <col min="1" max="1" width="12.42578125" style="178" customWidth="1"/>
    <col min="2" max="2" width="10" style="720" customWidth="1"/>
    <col min="3" max="3" width="33.28515625" style="178" customWidth="1"/>
    <col min="4" max="4" width="18.42578125" style="402" customWidth="1"/>
    <col min="5" max="5" width="20.28515625" style="382" customWidth="1"/>
    <col min="6" max="6" width="5.7109375" style="418" customWidth="1"/>
    <col min="7" max="7" width="16.5703125" style="178" customWidth="1"/>
    <col min="8" max="8" width="2.42578125" style="337" customWidth="1"/>
    <col min="9" max="9" width="16" style="699" customWidth="1"/>
    <col min="10" max="10" width="16.85546875" style="584" customWidth="1"/>
    <col min="11" max="12" width="15" style="337" customWidth="1"/>
    <col min="13" max="16384" width="9.140625" style="337"/>
  </cols>
  <sheetData>
    <row r="1" spans="1:16" ht="18" customHeight="1">
      <c r="A1" s="1896" t="s">
        <v>6</v>
      </c>
      <c r="B1" s="1898" t="s">
        <v>303</v>
      </c>
      <c r="C1" s="1900" t="s">
        <v>330</v>
      </c>
      <c r="D1" s="1902" t="s">
        <v>304</v>
      </c>
      <c r="E1" s="1885" t="s">
        <v>335</v>
      </c>
      <c r="F1" s="1887" t="s">
        <v>336</v>
      </c>
      <c r="G1" s="1888"/>
      <c r="H1" s="1889"/>
      <c r="I1" s="698"/>
      <c r="J1" s="1628"/>
      <c r="P1" s="337">
        <v>6170</v>
      </c>
    </row>
    <row r="2" spans="1:16" ht="20.25" customHeight="1" thickBot="1">
      <c r="A2" s="1897"/>
      <c r="B2" s="1899"/>
      <c r="C2" s="1901"/>
      <c r="D2" s="1903"/>
      <c r="E2" s="1886"/>
      <c r="F2" s="1890"/>
      <c r="G2" s="1891"/>
      <c r="H2" s="1892"/>
      <c r="J2" s="1628"/>
    </row>
    <row r="3" spans="1:16" ht="18" hidden="1" customHeight="1">
      <c r="A3" s="700" t="s">
        <v>110</v>
      </c>
      <c r="B3" s="945"/>
      <c r="C3" s="701"/>
      <c r="D3" s="702"/>
      <c r="E3" s="1493"/>
      <c r="F3" s="1503"/>
      <c r="G3" s="1504"/>
      <c r="H3" s="1410"/>
      <c r="J3" s="1627" t="s">
        <v>530</v>
      </c>
      <c r="K3" s="337" t="s">
        <v>531</v>
      </c>
    </row>
    <row r="4" spans="1:16" ht="18" hidden="1" customHeight="1">
      <c r="A4" s="703"/>
      <c r="B4" s="946" t="s">
        <v>410</v>
      </c>
      <c r="C4" s="704" t="s">
        <v>125</v>
      </c>
      <c r="D4" s="715">
        <v>0</v>
      </c>
      <c r="E4" s="1494">
        <v>0</v>
      </c>
      <c r="F4" s="1505" t="s">
        <v>185</v>
      </c>
      <c r="G4" s="1411">
        <v>0</v>
      </c>
      <c r="H4" s="1412"/>
    </row>
    <row r="5" spans="1:16" ht="18" customHeight="1">
      <c r="A5" s="705" t="s">
        <v>246</v>
      </c>
      <c r="B5" s="947"/>
      <c r="C5" s="709"/>
      <c r="D5" s="781"/>
      <c r="E5" s="1495"/>
      <c r="F5" s="1506"/>
      <c r="G5" s="1507"/>
      <c r="H5" s="1410"/>
    </row>
    <row r="6" spans="1:16" ht="18" customHeight="1">
      <c r="A6" s="703"/>
      <c r="B6" s="946" t="s">
        <v>321</v>
      </c>
      <c r="C6" s="704" t="s">
        <v>144</v>
      </c>
      <c r="D6" s="715">
        <f>$P$1</f>
        <v>6170</v>
      </c>
      <c r="E6" s="1494">
        <f>'SUM 2021'!$J6-D6</f>
        <v>33132.44</v>
      </c>
      <c r="F6" s="1508" t="s">
        <v>185</v>
      </c>
      <c r="G6" s="1413">
        <f>SUM(D6:E6)</f>
        <v>39302.44</v>
      </c>
      <c r="H6" s="1412"/>
    </row>
    <row r="7" spans="1:16" ht="18" customHeight="1">
      <c r="A7" s="708" t="s">
        <v>147</v>
      </c>
      <c r="B7" s="948"/>
      <c r="C7" s="709"/>
      <c r="D7" s="710"/>
      <c r="E7" s="1496"/>
      <c r="F7" s="1509"/>
      <c r="G7" s="1414"/>
      <c r="H7" s="1410"/>
    </row>
    <row r="8" spans="1:16" ht="18" hidden="1" customHeight="1">
      <c r="A8" s="711"/>
      <c r="B8" s="949" t="s">
        <v>223</v>
      </c>
      <c r="C8" s="706" t="s">
        <v>127</v>
      </c>
      <c r="D8" s="712">
        <v>0</v>
      </c>
      <c r="E8" s="1497">
        <v>0</v>
      </c>
      <c r="F8" s="1510" t="s">
        <v>185</v>
      </c>
      <c r="G8" s="1507">
        <f>SUM(D8:E8)</f>
        <v>0</v>
      </c>
      <c r="H8" s="1410"/>
    </row>
    <row r="9" spans="1:16" ht="18" customHeight="1">
      <c r="A9" s="711"/>
      <c r="B9" s="949" t="s">
        <v>224</v>
      </c>
      <c r="C9" s="706" t="s">
        <v>128</v>
      </c>
      <c r="D9" s="712">
        <f>$P$1</f>
        <v>6170</v>
      </c>
      <c r="E9" s="1497">
        <f>'SUM 2021'!J9-D9</f>
        <v>7914.32</v>
      </c>
      <c r="F9" s="1510" t="s">
        <v>185</v>
      </c>
      <c r="G9" s="1507">
        <f t="shared" ref="G9:G10" si="0">SUM(D9:E9)</f>
        <v>14084.32</v>
      </c>
      <c r="H9" s="1410"/>
    </row>
    <row r="10" spans="1:16" ht="18" hidden="1" customHeight="1" thickBot="1">
      <c r="A10" s="711"/>
      <c r="B10" s="949" t="s">
        <v>291</v>
      </c>
      <c r="C10" s="706" t="s">
        <v>177</v>
      </c>
      <c r="D10" s="713">
        <v>0</v>
      </c>
      <c r="E10" s="1497">
        <v>0</v>
      </c>
      <c r="F10" s="1510" t="s">
        <v>185</v>
      </c>
      <c r="G10" s="1507">
        <f t="shared" si="0"/>
        <v>0</v>
      </c>
      <c r="H10" s="1410"/>
    </row>
    <row r="11" spans="1:16" ht="18" hidden="1" customHeight="1" thickTop="1">
      <c r="A11" s="1707"/>
      <c r="B11" s="1708"/>
      <c r="C11" s="778" t="s">
        <v>278</v>
      </c>
      <c r="D11" s="779">
        <f>SUM(D8:D10)</f>
        <v>6170</v>
      </c>
      <c r="E11" s="1709">
        <f>'SUM 2021'!J11-D11</f>
        <v>7914.32</v>
      </c>
      <c r="F11" s="1710" t="s">
        <v>185</v>
      </c>
      <c r="G11" s="1711">
        <f>SUM(G9:G10)</f>
        <v>14084.32</v>
      </c>
      <c r="H11" s="1712"/>
    </row>
    <row r="12" spans="1:16" ht="18" customHeight="1">
      <c r="A12" s="708" t="s">
        <v>315</v>
      </c>
      <c r="B12" s="1713"/>
      <c r="C12" s="1714"/>
      <c r="D12" s="1715"/>
      <c r="E12" s="1716"/>
      <c r="F12" s="1717"/>
      <c r="G12" s="1718"/>
      <c r="H12" s="1523"/>
    </row>
    <row r="13" spans="1:16" ht="18.75" hidden="1" customHeight="1">
      <c r="A13" s="711"/>
      <c r="B13" s="949">
        <v>57</v>
      </c>
      <c r="C13" s="780" t="s">
        <v>314</v>
      </c>
      <c r="D13" s="712">
        <v>0</v>
      </c>
      <c r="E13" s="1499">
        <v>0</v>
      </c>
      <c r="F13" s="1512" t="s">
        <v>185</v>
      </c>
      <c r="G13" s="1514">
        <f>SUM(D13:E13)</f>
        <v>0</v>
      </c>
      <c r="H13" s="1410"/>
    </row>
    <row r="14" spans="1:16" ht="18" customHeight="1">
      <c r="A14" s="711"/>
      <c r="B14" s="949" t="s">
        <v>491</v>
      </c>
      <c r="C14" s="780" t="s">
        <v>326</v>
      </c>
      <c r="D14" s="1606">
        <f>$P$1</f>
        <v>6170</v>
      </c>
      <c r="E14" s="1607">
        <f>'SUM 2021'!J14-D14</f>
        <v>14469.099999999999</v>
      </c>
      <c r="F14" s="1519" t="s">
        <v>185</v>
      </c>
      <c r="G14" s="1608">
        <f>SUM(D14:E14)</f>
        <v>20639.099999999999</v>
      </c>
      <c r="H14" s="1412"/>
    </row>
    <row r="15" spans="1:16" ht="18" hidden="1" customHeight="1">
      <c r="A15" s="711"/>
      <c r="B15" s="949"/>
      <c r="C15" s="780"/>
      <c r="D15" s="779"/>
      <c r="E15" s="1494"/>
      <c r="F15" s="1512"/>
      <c r="G15" s="1513"/>
      <c r="H15" s="1412"/>
    </row>
    <row r="16" spans="1:16" ht="18" customHeight="1">
      <c r="A16" s="708" t="s">
        <v>552</v>
      </c>
      <c r="B16" s="948"/>
      <c r="C16" s="709"/>
      <c r="D16" s="710"/>
      <c r="E16" s="1496"/>
      <c r="F16" s="1509"/>
      <c r="G16" s="1414"/>
      <c r="H16" s="1410"/>
    </row>
    <row r="17" spans="1:12" ht="18" customHeight="1">
      <c r="A17" s="711"/>
      <c r="B17" s="949" t="s">
        <v>537</v>
      </c>
      <c r="C17" s="706" t="s">
        <v>132</v>
      </c>
      <c r="D17" s="712">
        <f>$P$1</f>
        <v>6170</v>
      </c>
      <c r="E17" s="1497">
        <f>'SUM 2021'!J17-D17</f>
        <v>140581.57</v>
      </c>
      <c r="F17" s="1510" t="s">
        <v>185</v>
      </c>
      <c r="G17" s="1507">
        <f>SUM(D17:E17)</f>
        <v>146751.57</v>
      </c>
      <c r="H17" s="1410"/>
    </row>
    <row r="18" spans="1:12" ht="18" customHeight="1" thickBot="1">
      <c r="A18" s="711"/>
      <c r="B18" s="949" t="s">
        <v>538</v>
      </c>
      <c r="C18" s="706" t="s">
        <v>157</v>
      </c>
      <c r="D18" s="713">
        <f>$P$1</f>
        <v>6170</v>
      </c>
      <c r="E18" s="1497">
        <f>'SUM 2021'!J18-D18</f>
        <v>57281.45</v>
      </c>
      <c r="F18" s="1515" t="s">
        <v>185</v>
      </c>
      <c r="G18" s="1418">
        <f>SUM(D18:E18)</f>
        <v>63451.45</v>
      </c>
      <c r="H18" s="1417"/>
    </row>
    <row r="19" spans="1:12" ht="18" customHeight="1" thickTop="1">
      <c r="A19" s="703"/>
      <c r="B19" s="946"/>
      <c r="C19" s="714" t="s">
        <v>279</v>
      </c>
      <c r="D19" s="715">
        <f>SUM(D17:D18)</f>
        <v>12340</v>
      </c>
      <c r="E19" s="1498">
        <f>'SUM 2021'!J19-D19</f>
        <v>197863.02000000002</v>
      </c>
      <c r="F19" s="1508" t="s">
        <v>185</v>
      </c>
      <c r="G19" s="1413">
        <f>SUM(G17:G18)</f>
        <v>210203.02000000002</v>
      </c>
      <c r="H19" s="1416"/>
    </row>
    <row r="20" spans="1:12" ht="18" customHeight="1">
      <c r="A20" s="708" t="s">
        <v>75</v>
      </c>
      <c r="B20" s="948"/>
      <c r="C20" s="709"/>
      <c r="D20" s="710"/>
      <c r="E20" s="1496"/>
      <c r="F20" s="1509"/>
      <c r="G20" s="1414"/>
      <c r="H20" s="1410"/>
    </row>
    <row r="21" spans="1:12" ht="18" customHeight="1">
      <c r="A21" s="711"/>
      <c r="B21" s="949" t="s">
        <v>492</v>
      </c>
      <c r="C21" s="706" t="s">
        <v>216</v>
      </c>
      <c r="D21" s="712">
        <f>$P$1</f>
        <v>6170</v>
      </c>
      <c r="E21" s="1497">
        <f>'SUM 2021'!J21-D21</f>
        <v>254211.55</v>
      </c>
      <c r="F21" s="1510" t="s">
        <v>185</v>
      </c>
      <c r="G21" s="1507">
        <f>SUM(D21:E21)</f>
        <v>260381.55</v>
      </c>
      <c r="H21" s="1410"/>
      <c r="L21" s="475"/>
    </row>
    <row r="22" spans="1:12" ht="18" customHeight="1" thickBot="1">
      <c r="A22" s="711"/>
      <c r="B22" s="949" t="s">
        <v>418</v>
      </c>
      <c r="C22" s="706" t="s">
        <v>293</v>
      </c>
      <c r="D22" s="713">
        <f>$P$1</f>
        <v>6170</v>
      </c>
      <c r="E22" s="1497">
        <f>'SUM 2021'!J22-D22</f>
        <v>116549.5</v>
      </c>
      <c r="F22" s="1515" t="s">
        <v>185</v>
      </c>
      <c r="G22" s="1418">
        <f>SUM(D22:E22)</f>
        <v>122719.5</v>
      </c>
      <c r="H22" s="1417"/>
      <c r="L22" s="475"/>
    </row>
    <row r="23" spans="1:12" ht="18" customHeight="1" thickTop="1">
      <c r="A23" s="711"/>
      <c r="B23" s="949"/>
      <c r="C23" s="706"/>
      <c r="D23" s="779">
        <f>SUM(D21:D22)</f>
        <v>12340</v>
      </c>
      <c r="E23" s="1498">
        <f>'SUM 2021'!J23-D23</f>
        <v>370761.05</v>
      </c>
      <c r="F23" s="1516" t="s">
        <v>185</v>
      </c>
      <c r="G23" s="1517">
        <f>SUM(G21:G22)</f>
        <v>383101.05</v>
      </c>
      <c r="H23" s="1412"/>
      <c r="L23" s="475"/>
    </row>
    <row r="24" spans="1:12" ht="18" customHeight="1">
      <c r="A24" s="708" t="s">
        <v>338</v>
      </c>
      <c r="B24" s="948"/>
      <c r="C24" s="709"/>
      <c r="D24" s="710"/>
      <c r="E24" s="1496"/>
      <c r="F24" s="1509"/>
      <c r="G24" s="1414"/>
      <c r="H24" s="1410"/>
    </row>
    <row r="25" spans="1:12" ht="18" customHeight="1">
      <c r="A25" s="705"/>
      <c r="B25" s="949" t="s">
        <v>539</v>
      </c>
      <c r="C25" s="706" t="s">
        <v>151</v>
      </c>
      <c r="D25" s="712">
        <f>$P$1</f>
        <v>6170</v>
      </c>
      <c r="E25" s="1497">
        <f>'SUM 2021'!J25-D25</f>
        <v>74915.5</v>
      </c>
      <c r="F25" s="1510" t="s">
        <v>185</v>
      </c>
      <c r="G25" s="1507">
        <f>SUM(D25:E25)</f>
        <v>81085.5</v>
      </c>
      <c r="H25" s="1410"/>
    </row>
    <row r="26" spans="1:12" ht="18" customHeight="1">
      <c r="A26" s="705"/>
      <c r="B26" s="949" t="s">
        <v>323</v>
      </c>
      <c r="C26" s="706" t="s">
        <v>244</v>
      </c>
      <c r="D26" s="712">
        <f>$P$1</f>
        <v>6170</v>
      </c>
      <c r="E26" s="1497">
        <f>'SUM 2021'!J26-D26</f>
        <v>43141.31</v>
      </c>
      <c r="F26" s="1510" t="s">
        <v>185</v>
      </c>
      <c r="G26" s="1507">
        <f>SUM(D26:E26)</f>
        <v>49311.31</v>
      </c>
      <c r="H26" s="1410"/>
    </row>
    <row r="27" spans="1:12" ht="18" customHeight="1" thickBot="1">
      <c r="A27" s="705"/>
      <c r="B27" s="949">
        <v>60</v>
      </c>
      <c r="C27" s="706" t="s">
        <v>439</v>
      </c>
      <c r="D27" s="712">
        <f>$P$1</f>
        <v>6170</v>
      </c>
      <c r="E27" s="1497">
        <f>'SUM 2021'!J27-D27</f>
        <v>25288.799999999999</v>
      </c>
      <c r="F27" s="1510" t="s">
        <v>185</v>
      </c>
      <c r="G27" s="1507">
        <f>SUM(D27:E27)</f>
        <v>31458.799999999999</v>
      </c>
      <c r="H27" s="1410"/>
    </row>
    <row r="28" spans="1:12" ht="18" customHeight="1" thickTop="1">
      <c r="A28" s="703"/>
      <c r="B28" s="946"/>
      <c r="C28" s="714" t="s">
        <v>280</v>
      </c>
      <c r="D28" s="716">
        <f>SUM(D25:D27)</f>
        <v>18510</v>
      </c>
      <c r="E28" s="1498">
        <f>'SUM 2021'!J28-D28</f>
        <v>143345.60999999999</v>
      </c>
      <c r="F28" s="1518" t="s">
        <v>185</v>
      </c>
      <c r="G28" s="1419">
        <f>SUM(G25:G27)</f>
        <v>161855.60999999999</v>
      </c>
      <c r="H28" s="1412"/>
    </row>
    <row r="29" spans="1:12" ht="18" customHeight="1">
      <c r="A29" s="708" t="s">
        <v>78</v>
      </c>
      <c r="B29" s="948"/>
      <c r="C29" s="709"/>
      <c r="D29" s="710"/>
      <c r="E29" s="1496"/>
      <c r="F29" s="1509"/>
      <c r="G29" s="1414"/>
      <c r="H29" s="1410"/>
    </row>
    <row r="30" spans="1:12" ht="18" customHeight="1">
      <c r="A30" s="711"/>
      <c r="B30" s="949" t="s">
        <v>230</v>
      </c>
      <c r="C30" s="706" t="s">
        <v>134</v>
      </c>
      <c r="D30" s="712">
        <f>$P$1</f>
        <v>6170</v>
      </c>
      <c r="E30" s="1497">
        <f>'SUM 2021'!J30-D30</f>
        <v>8790.69</v>
      </c>
      <c r="F30" s="1510" t="s">
        <v>185</v>
      </c>
      <c r="G30" s="1507">
        <f>SUM(D30:E30)</f>
        <v>14960.69</v>
      </c>
      <c r="H30" s="1410"/>
    </row>
    <row r="31" spans="1:12" ht="18" customHeight="1" thickBot="1">
      <c r="A31" s="711"/>
      <c r="B31" s="949" t="s">
        <v>231</v>
      </c>
      <c r="C31" s="706" t="s">
        <v>178</v>
      </c>
      <c r="D31" s="713">
        <f>$P$1</f>
        <v>6170</v>
      </c>
      <c r="E31" s="1500">
        <f>'SUM 2021'!J31-D31</f>
        <v>3486.2099999999991</v>
      </c>
      <c r="F31" s="1515" t="s">
        <v>185</v>
      </c>
      <c r="G31" s="1418">
        <f>SUM(D31:E31)</f>
        <v>9656.2099999999991</v>
      </c>
      <c r="H31" s="1417"/>
    </row>
    <row r="32" spans="1:12" ht="18" customHeight="1" thickTop="1">
      <c r="A32" s="703"/>
      <c r="B32" s="946"/>
      <c r="C32" s="714" t="s">
        <v>281</v>
      </c>
      <c r="D32" s="715">
        <f>SUM(D30:D31)</f>
        <v>12340</v>
      </c>
      <c r="E32" s="1498">
        <f>'SUM 2021'!J32-D32</f>
        <v>12276.900000000001</v>
      </c>
      <c r="F32" s="1519" t="s">
        <v>185</v>
      </c>
      <c r="G32" s="1411">
        <f>SUM(G30:G31)</f>
        <v>24616.9</v>
      </c>
      <c r="H32" s="1416"/>
    </row>
    <row r="33" spans="1:9" ht="18" customHeight="1">
      <c r="A33" s="708" t="s">
        <v>219</v>
      </c>
      <c r="B33" s="948"/>
      <c r="C33" s="709"/>
      <c r="D33" s="710"/>
      <c r="E33" s="1496"/>
      <c r="F33" s="1509"/>
      <c r="G33" s="1414"/>
      <c r="H33" s="1523"/>
    </row>
    <row r="34" spans="1:9" ht="18" customHeight="1">
      <c r="A34" s="711"/>
      <c r="B34" s="949" t="s">
        <v>311</v>
      </c>
      <c r="C34" s="706" t="s">
        <v>136</v>
      </c>
      <c r="D34" s="712">
        <f t="shared" ref="D34:D46" si="1">$P$1</f>
        <v>6170</v>
      </c>
      <c r="E34" s="1497">
        <f>'SUM 2021'!J34-D34</f>
        <v>56077.4</v>
      </c>
      <c r="F34" s="1510" t="s">
        <v>185</v>
      </c>
      <c r="G34" s="1507">
        <f t="shared" ref="G34:G43" si="2">SUM(D34:E34)</f>
        <v>62247.4</v>
      </c>
      <c r="H34" s="1410"/>
    </row>
    <row r="35" spans="1:9" ht="18" customHeight="1">
      <c r="A35" s="711"/>
      <c r="B35" s="949" t="s">
        <v>400</v>
      </c>
      <c r="C35" s="706" t="s">
        <v>143</v>
      </c>
      <c r="D35" s="712">
        <f t="shared" si="1"/>
        <v>6170</v>
      </c>
      <c r="E35" s="1497">
        <f>'SUM 2021'!J35-D35</f>
        <v>219709.3</v>
      </c>
      <c r="F35" s="1510" t="s">
        <v>185</v>
      </c>
      <c r="G35" s="1507">
        <f t="shared" si="2"/>
        <v>225879.3</v>
      </c>
      <c r="H35" s="1410"/>
    </row>
    <row r="36" spans="1:9" ht="18" customHeight="1">
      <c r="A36" s="711"/>
      <c r="B36" s="949" t="s">
        <v>324</v>
      </c>
      <c r="C36" s="706" t="s">
        <v>137</v>
      </c>
      <c r="D36" s="712">
        <f t="shared" si="1"/>
        <v>6170</v>
      </c>
      <c r="E36" s="1497">
        <f>'SUM 2021'!J36-D36</f>
        <v>232135.25</v>
      </c>
      <c r="F36" s="1510" t="s">
        <v>185</v>
      </c>
      <c r="G36" s="1507">
        <f t="shared" si="2"/>
        <v>238305.25</v>
      </c>
      <c r="H36" s="1410"/>
    </row>
    <row r="37" spans="1:9" ht="18" customHeight="1">
      <c r="A37" s="711"/>
      <c r="B37" s="949" t="s">
        <v>333</v>
      </c>
      <c r="C37" s="706" t="s">
        <v>145</v>
      </c>
      <c r="D37" s="712">
        <f t="shared" si="1"/>
        <v>6170</v>
      </c>
      <c r="E37" s="1497">
        <f>'SUM 2021'!J37-D37</f>
        <v>170506.65</v>
      </c>
      <c r="F37" s="1510" t="s">
        <v>185</v>
      </c>
      <c r="G37" s="1507">
        <f t="shared" si="2"/>
        <v>176676.65</v>
      </c>
      <c r="H37" s="1410"/>
    </row>
    <row r="38" spans="1:9" ht="18" customHeight="1">
      <c r="A38" s="711"/>
      <c r="B38" s="949" t="s">
        <v>271</v>
      </c>
      <c r="C38" s="706" t="s">
        <v>138</v>
      </c>
      <c r="D38" s="712">
        <f t="shared" si="1"/>
        <v>6170</v>
      </c>
      <c r="E38" s="1497">
        <f>'SUM 2021'!J38-D38</f>
        <v>24145.15</v>
      </c>
      <c r="F38" s="1510" t="s">
        <v>185</v>
      </c>
      <c r="G38" s="1507">
        <f t="shared" si="2"/>
        <v>30315.15</v>
      </c>
      <c r="H38" s="1410"/>
    </row>
    <row r="39" spans="1:9" ht="18" customHeight="1">
      <c r="A39" s="711"/>
      <c r="B39" s="949" t="s">
        <v>334</v>
      </c>
      <c r="C39" s="706" t="s">
        <v>165</v>
      </c>
      <c r="D39" s="707">
        <f t="shared" si="1"/>
        <v>6170</v>
      </c>
      <c r="E39" s="1501">
        <f>'SUM 2021'!J39-D39</f>
        <v>146862.65</v>
      </c>
      <c r="F39" s="1510" t="s">
        <v>185</v>
      </c>
      <c r="G39" s="1514">
        <f>SUM(D39:E39)</f>
        <v>153032.65</v>
      </c>
      <c r="H39" s="1410"/>
    </row>
    <row r="40" spans="1:9" ht="18" customHeight="1">
      <c r="A40" s="711"/>
      <c r="B40" s="949" t="s">
        <v>493</v>
      </c>
      <c r="C40" s="706" t="s">
        <v>274</v>
      </c>
      <c r="D40" s="712">
        <f t="shared" si="1"/>
        <v>6170</v>
      </c>
      <c r="E40" s="1497">
        <f>'SUM 2021'!J40-D40</f>
        <v>56064.55</v>
      </c>
      <c r="F40" s="1510" t="s">
        <v>185</v>
      </c>
      <c r="G40" s="1507">
        <f>SUM(D40:E40)</f>
        <v>62234.55</v>
      </c>
      <c r="H40" s="1410"/>
      <c r="I40" s="995"/>
    </row>
    <row r="41" spans="1:9" ht="18" customHeight="1">
      <c r="A41" s="711"/>
      <c r="B41" s="949" t="s">
        <v>494</v>
      </c>
      <c r="C41" s="706" t="s">
        <v>217</v>
      </c>
      <c r="D41" s="712">
        <f t="shared" si="1"/>
        <v>6170</v>
      </c>
      <c r="E41" s="1497">
        <f>'SUM 2021'!J41-D41</f>
        <v>163850.35</v>
      </c>
      <c r="F41" s="1510" t="s">
        <v>185</v>
      </c>
      <c r="G41" s="1507">
        <f t="shared" si="2"/>
        <v>170020.35</v>
      </c>
      <c r="H41" s="1410"/>
    </row>
    <row r="42" spans="1:9" ht="18" customHeight="1">
      <c r="A42" s="711"/>
      <c r="B42" s="949">
        <v>51</v>
      </c>
      <c r="C42" s="706" t="s">
        <v>242</v>
      </c>
      <c r="D42" s="712">
        <f t="shared" si="1"/>
        <v>6170</v>
      </c>
      <c r="E42" s="1497">
        <f>'SUM 2021'!J42-D42</f>
        <v>55165.05</v>
      </c>
      <c r="F42" s="1510" t="s">
        <v>185</v>
      </c>
      <c r="G42" s="1507">
        <f t="shared" si="2"/>
        <v>61335.05</v>
      </c>
      <c r="H42" s="1410"/>
    </row>
    <row r="43" spans="1:9" ht="18" customHeight="1">
      <c r="A43" s="711"/>
      <c r="B43" s="949">
        <v>53</v>
      </c>
      <c r="C43" s="706" t="s">
        <v>250</v>
      </c>
      <c r="D43" s="712">
        <f t="shared" si="1"/>
        <v>6170</v>
      </c>
      <c r="E43" s="1497">
        <f>'SUM 2021'!J43-D43</f>
        <v>29657.800000000003</v>
      </c>
      <c r="F43" s="1510" t="s">
        <v>185</v>
      </c>
      <c r="G43" s="1507">
        <f t="shared" si="2"/>
        <v>35827.800000000003</v>
      </c>
      <c r="H43" s="1410"/>
    </row>
    <row r="44" spans="1:9" ht="18" customHeight="1">
      <c r="A44" s="711"/>
      <c r="B44" s="949" t="s">
        <v>346</v>
      </c>
      <c r="C44" s="706" t="s">
        <v>275</v>
      </c>
      <c r="D44" s="712">
        <f t="shared" si="1"/>
        <v>6170</v>
      </c>
      <c r="E44" s="1497">
        <f>'SUM 2021'!J44-D44</f>
        <v>46452.75</v>
      </c>
      <c r="F44" s="1510" t="s">
        <v>185</v>
      </c>
      <c r="G44" s="1507">
        <f>SUM(D44:E44)</f>
        <v>52622.75</v>
      </c>
      <c r="H44" s="1410"/>
    </row>
    <row r="45" spans="1:9" ht="18" customHeight="1">
      <c r="A45" s="711"/>
      <c r="B45" s="949">
        <v>56</v>
      </c>
      <c r="C45" s="706" t="s">
        <v>316</v>
      </c>
      <c r="D45" s="712">
        <f t="shared" si="1"/>
        <v>6170</v>
      </c>
      <c r="E45" s="1497">
        <f>'SUM 2021'!J45-D45</f>
        <v>3585.1499999999996</v>
      </c>
      <c r="F45" s="1510" t="s">
        <v>185</v>
      </c>
      <c r="G45" s="1507">
        <f>SUM(D45:E45)</f>
        <v>9755.15</v>
      </c>
      <c r="H45" s="1410"/>
    </row>
    <row r="46" spans="1:9" ht="18" customHeight="1" thickBot="1">
      <c r="A46" s="711"/>
      <c r="B46" s="949" t="s">
        <v>490</v>
      </c>
      <c r="C46" s="706" t="s">
        <v>310</v>
      </c>
      <c r="D46" s="712">
        <f t="shared" si="1"/>
        <v>6170</v>
      </c>
      <c r="E46" s="1500">
        <f>'SUM 2021'!J46-D46</f>
        <v>44011.25</v>
      </c>
      <c r="F46" s="1515" t="s">
        <v>185</v>
      </c>
      <c r="G46" s="1418">
        <f>SUM(D46:E46)</f>
        <v>50181.25</v>
      </c>
      <c r="H46" s="1417"/>
    </row>
    <row r="47" spans="1:9" ht="18" customHeight="1" thickTop="1">
      <c r="A47" s="703"/>
      <c r="B47" s="946"/>
      <c r="C47" s="714" t="s">
        <v>282</v>
      </c>
      <c r="D47" s="716">
        <f>SUM(D34:D46)</f>
        <v>80210</v>
      </c>
      <c r="E47" s="1498">
        <f>'SUM 2021'!J47-D47</f>
        <v>1248223.3</v>
      </c>
      <c r="F47" s="1511" t="s">
        <v>185</v>
      </c>
      <c r="G47" s="1415">
        <f>SUM(G34:G46)</f>
        <v>1328433.3</v>
      </c>
      <c r="H47" s="1416"/>
    </row>
    <row r="48" spans="1:9" ht="18" customHeight="1">
      <c r="A48" s="708" t="s">
        <v>86</v>
      </c>
      <c r="B48" s="948"/>
      <c r="C48" s="709"/>
      <c r="D48" s="717"/>
      <c r="E48" s="1496"/>
      <c r="F48" s="1509"/>
      <c r="G48" s="1414"/>
      <c r="H48" s="1410"/>
    </row>
    <row r="49" spans="1:10" ht="18" customHeight="1" thickBot="1">
      <c r="A49" s="718"/>
      <c r="B49" s="950" t="s">
        <v>540</v>
      </c>
      <c r="C49" s="719" t="s">
        <v>139</v>
      </c>
      <c r="D49" s="782">
        <f>$P$1</f>
        <v>6170</v>
      </c>
      <c r="E49" s="1502">
        <f>'SUM 2021'!J49-D49</f>
        <v>75390.95</v>
      </c>
      <c r="F49" s="1520" t="s">
        <v>185</v>
      </c>
      <c r="G49" s="1420">
        <f>SUM(D49:E49)</f>
        <v>81560.95</v>
      </c>
      <c r="H49" s="1417"/>
    </row>
    <row r="50" spans="1:10" ht="27.75" customHeight="1" thickTop="1" thickBot="1">
      <c r="A50" s="1893" t="s">
        <v>305</v>
      </c>
      <c r="B50" s="1894"/>
      <c r="C50" s="1895"/>
      <c r="D50" s="1424">
        <f>SUM(D6,D11,D14,D19,D23,D28,D32,D47,D49)</f>
        <v>160420</v>
      </c>
      <c r="E50" s="1522">
        <f>'SUM 2021'!J50-D50</f>
        <v>2103376.6900000004</v>
      </c>
      <c r="F50" s="1521" t="s">
        <v>185</v>
      </c>
      <c r="G50" s="1425">
        <f>SUM(G6,G9,G14,G19,G23,G28,G32,G47,G49)</f>
        <v>2263796.6900000004</v>
      </c>
      <c r="H50" s="1426"/>
    </row>
    <row r="51" spans="1:10" ht="20.25" customHeight="1" thickTop="1">
      <c r="A51" s="1066" t="s">
        <v>553</v>
      </c>
      <c r="B51" s="952"/>
      <c r="C51" s="952"/>
      <c r="D51" s="953"/>
      <c r="E51" s="953"/>
      <c r="F51" s="954"/>
      <c r="G51" s="955"/>
      <c r="H51" s="248"/>
    </row>
    <row r="52" spans="1:10" ht="20.25" customHeight="1">
      <c r="A52" s="969"/>
      <c r="B52" s="1065"/>
      <c r="C52" s="1066"/>
      <c r="D52" s="1067"/>
      <c r="E52" s="1068"/>
      <c r="F52" s="1069"/>
      <c r="G52" s="1066"/>
      <c r="H52" s="248"/>
    </row>
    <row r="53" spans="1:10" ht="18" customHeight="1">
      <c r="A53" s="956"/>
      <c r="B53" s="970"/>
      <c r="C53" s="971"/>
      <c r="D53" s="972"/>
      <c r="E53" s="973"/>
      <c r="F53" s="974"/>
      <c r="G53" s="971"/>
    </row>
    <row r="54" spans="1:10" ht="18" customHeight="1">
      <c r="A54" s="951"/>
    </row>
    <row r="55" spans="1:10" ht="18" customHeight="1">
      <c r="G55" s="998">
        <f>'SUM 2021'!J50</f>
        <v>2263796.6900000004</v>
      </c>
      <c r="I55" s="721" t="s">
        <v>306</v>
      </c>
      <c r="J55" s="722">
        <f>G50-G55</f>
        <v>0</v>
      </c>
    </row>
    <row r="56" spans="1:10" ht="18" customHeight="1">
      <c r="G56" s="998">
        <f>SUM(D50:E50)</f>
        <v>2263796.6900000004</v>
      </c>
      <c r="I56" s="721" t="s">
        <v>306</v>
      </c>
      <c r="J56" s="722">
        <f>G50-G56</f>
        <v>0</v>
      </c>
    </row>
    <row r="58" spans="1:10" ht="18" customHeight="1">
      <c r="G58" s="1313"/>
    </row>
  </sheetData>
  <mergeCells count="7">
    <mergeCell ref="E1:E2"/>
    <mergeCell ref="F1:H2"/>
    <mergeCell ref="A50:C50"/>
    <mergeCell ref="A1:A2"/>
    <mergeCell ref="B1:B2"/>
    <mergeCell ref="C1:C2"/>
    <mergeCell ref="D1:D2"/>
  </mergeCells>
  <phoneticPr fontId="0" type="noConversion"/>
  <printOptions horizontalCentered="1" verticalCentered="1"/>
  <pageMargins left="0.5" right="0.5" top="1" bottom="1" header="0.75" footer="0.5"/>
  <pageSetup scale="72" orientation="portrait" r:id="rId1"/>
  <headerFooter alignWithMargins="0">
    <oddHeader>&amp;C&amp;"Arial,Bold"&amp;16Surface Mining and Reclamation Division
 2021 Coal Mining Annual Fee Payment Report</oddHeader>
    <oddFooter>&amp;R&amp;D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Q39"/>
  <sheetViews>
    <sheetView zoomScale="75" workbookViewId="0">
      <selection activeCell="Q2" sqref="Q2:Z2"/>
    </sheetView>
  </sheetViews>
  <sheetFormatPr defaultColWidth="9.140625" defaultRowHeight="18" customHeight="1"/>
  <cols>
    <col min="1" max="1" width="18.85546875" style="178" customWidth="1"/>
    <col min="2" max="2" width="24.85546875" style="178" bestFit="1" customWidth="1"/>
    <col min="3" max="3" width="16.42578125" style="402" customWidth="1"/>
    <col min="4" max="5" width="18.85546875" style="389" customWidth="1"/>
    <col min="6" max="6" width="19.42578125" style="382" customWidth="1"/>
    <col min="7" max="7" width="13.85546875" style="402" customWidth="1"/>
    <col min="8" max="8" width="4.140625" style="418" customWidth="1"/>
    <col min="9" max="9" width="13.42578125" style="178" customWidth="1"/>
    <col min="10" max="11" width="8.5703125" style="178" hidden="1" customWidth="1"/>
    <col min="12" max="12" width="8.5703125" style="337" hidden="1" customWidth="1"/>
    <col min="13" max="13" width="14.5703125" style="337" hidden="1" customWidth="1"/>
    <col min="14" max="14" width="2.42578125" style="337" customWidth="1"/>
    <col min="15" max="15" width="14.140625" style="395" bestFit="1" customWidth="1"/>
    <col min="16" max="16" width="18.42578125" style="475" bestFit="1" customWidth="1"/>
    <col min="17" max="17" width="10.85546875" style="337" bestFit="1" customWidth="1"/>
    <col min="18" max="16384" width="9.140625" style="337"/>
  </cols>
  <sheetData>
    <row r="1" spans="1:17" ht="18" customHeight="1" thickTop="1">
      <c r="A1" s="2092" t="s">
        <v>6</v>
      </c>
      <c r="B1" s="2094" t="s">
        <v>162</v>
      </c>
      <c r="C1" s="2077" t="s">
        <v>159</v>
      </c>
      <c r="D1" s="2084" t="s">
        <v>190</v>
      </c>
      <c r="E1" s="2084" t="s">
        <v>187</v>
      </c>
      <c r="F1" s="2080" t="s">
        <v>186</v>
      </c>
      <c r="G1" s="2086" t="s">
        <v>175</v>
      </c>
      <c r="H1" s="2088" t="s">
        <v>184</v>
      </c>
      <c r="I1" s="2090" t="s">
        <v>164</v>
      </c>
      <c r="J1" s="333" t="s">
        <v>108</v>
      </c>
      <c r="K1" s="334" t="s">
        <v>108</v>
      </c>
      <c r="L1" s="335" t="s">
        <v>108</v>
      </c>
      <c r="M1" s="439" t="s">
        <v>148</v>
      </c>
      <c r="N1" s="453"/>
      <c r="O1" s="396"/>
    </row>
    <row r="2" spans="1:17" ht="18" customHeight="1" thickBot="1">
      <c r="A2" s="2093"/>
      <c r="B2" s="2095"/>
      <c r="C2" s="2078"/>
      <c r="D2" s="2096"/>
      <c r="E2" s="2085"/>
      <c r="F2" s="2081"/>
      <c r="G2" s="2087"/>
      <c r="H2" s="2089"/>
      <c r="I2" s="2091"/>
      <c r="J2" s="333">
        <v>1999</v>
      </c>
      <c r="K2" s="334">
        <v>1998</v>
      </c>
      <c r="L2" s="335">
        <v>1998</v>
      </c>
      <c r="M2" s="440" t="s">
        <v>149</v>
      </c>
      <c r="N2" s="454"/>
    </row>
    <row r="3" spans="1:17" ht="18" customHeight="1">
      <c r="A3" s="339" t="s">
        <v>110</v>
      </c>
      <c r="B3" s="340"/>
      <c r="C3" s="397"/>
      <c r="D3" s="392"/>
      <c r="E3" s="392"/>
      <c r="F3" s="373"/>
      <c r="G3" s="397"/>
      <c r="H3" s="428"/>
      <c r="I3" s="442"/>
      <c r="J3" s="342"/>
      <c r="K3" s="342"/>
      <c r="L3" s="343"/>
      <c r="M3" s="343"/>
      <c r="N3" s="452"/>
    </row>
    <row r="4" spans="1:17" ht="18" customHeight="1">
      <c r="A4" s="464" t="s">
        <v>197</v>
      </c>
      <c r="B4" s="346" t="s">
        <v>125</v>
      </c>
      <c r="C4" s="360">
        <v>0</v>
      </c>
      <c r="D4" s="351">
        <v>17413</v>
      </c>
      <c r="E4" s="351">
        <v>6.9</v>
      </c>
      <c r="F4" s="374">
        <v>0</v>
      </c>
      <c r="G4" s="360">
        <v>0</v>
      </c>
      <c r="H4" s="429" t="s">
        <v>185</v>
      </c>
      <c r="I4" s="443">
        <f>(F4*160)+3550+(3*D4)</f>
        <v>55789</v>
      </c>
      <c r="J4" s="347">
        <v>256</v>
      </c>
      <c r="K4" s="347">
        <v>300</v>
      </c>
      <c r="L4" s="348">
        <v>317</v>
      </c>
      <c r="M4" s="441" t="e">
        <f>SUM(#REF!*2.5)</f>
        <v>#REF!</v>
      </c>
      <c r="N4" s="452"/>
    </row>
    <row r="5" spans="1:17" ht="18" customHeight="1" thickBot="1">
      <c r="A5" s="464">
        <v>48</v>
      </c>
      <c r="B5" s="346" t="s">
        <v>165</v>
      </c>
      <c r="C5" s="437">
        <v>6949845</v>
      </c>
      <c r="D5" s="393">
        <v>15316</v>
      </c>
      <c r="E5" s="393">
        <v>204.5</v>
      </c>
      <c r="F5" s="375">
        <v>455.2</v>
      </c>
      <c r="G5" s="412">
        <f>C5/F5</f>
        <v>15267.673550087873</v>
      </c>
      <c r="H5" s="429" t="s">
        <v>185</v>
      </c>
      <c r="I5" s="443">
        <f>(F5*160)+3550+(3*D5)</f>
        <v>122330</v>
      </c>
      <c r="J5" s="347"/>
      <c r="K5" s="347"/>
      <c r="L5" s="348"/>
      <c r="M5" s="343"/>
      <c r="N5" s="455"/>
    </row>
    <row r="6" spans="1:17" ht="18" customHeight="1" thickTop="1">
      <c r="A6" s="353"/>
      <c r="B6" s="362" t="s">
        <v>166</v>
      </c>
      <c r="C6" s="438">
        <f>SUM(C4:C5)</f>
        <v>6949845</v>
      </c>
      <c r="D6" s="394">
        <f>SUM(D4:D5)</f>
        <v>32729</v>
      </c>
      <c r="E6" s="394">
        <f>SUM(E4:E5)</f>
        <v>211.4</v>
      </c>
      <c r="F6" s="394">
        <f>SUM(F4:F5)</f>
        <v>455.2</v>
      </c>
      <c r="G6" s="438"/>
      <c r="H6" s="430" t="s">
        <v>185</v>
      </c>
      <c r="I6" s="444">
        <f>SUM(I4,I5)</f>
        <v>178119</v>
      </c>
      <c r="J6" s="347"/>
      <c r="K6" s="347"/>
      <c r="L6" s="348"/>
      <c r="M6" s="343"/>
      <c r="N6" s="456"/>
    </row>
    <row r="7" spans="1:17" ht="18" customHeight="1">
      <c r="A7" s="352" t="s">
        <v>179</v>
      </c>
      <c r="B7" s="346"/>
      <c r="C7" s="437"/>
      <c r="D7" s="393"/>
      <c r="E7" s="393"/>
      <c r="F7" s="375"/>
      <c r="G7" s="360"/>
      <c r="H7" s="429"/>
      <c r="I7" s="445"/>
      <c r="J7" s="347"/>
      <c r="K7" s="347"/>
      <c r="L7" s="348"/>
      <c r="M7" s="441"/>
      <c r="N7" s="452"/>
    </row>
    <row r="8" spans="1:17" ht="18" customHeight="1">
      <c r="A8" s="353">
        <v>42</v>
      </c>
      <c r="B8" s="354" t="s">
        <v>144</v>
      </c>
      <c r="C8" s="364">
        <v>0</v>
      </c>
      <c r="D8" s="355">
        <v>803</v>
      </c>
      <c r="E8" s="355">
        <v>99.3</v>
      </c>
      <c r="F8" s="377">
        <v>0</v>
      </c>
      <c r="G8" s="414">
        <v>0</v>
      </c>
      <c r="H8" s="435" t="s">
        <v>185</v>
      </c>
      <c r="I8" s="446">
        <f>(F8*1600)+3550+3*D8</f>
        <v>5959</v>
      </c>
      <c r="J8" s="347"/>
      <c r="K8" s="347"/>
      <c r="L8" s="348"/>
      <c r="M8" s="441">
        <f>SUM(I8*2.5)</f>
        <v>14897.5</v>
      </c>
      <c r="N8" s="457"/>
    </row>
    <row r="9" spans="1:17" ht="18" customHeight="1">
      <c r="A9" s="356" t="s">
        <v>147</v>
      </c>
      <c r="B9" s="357"/>
      <c r="C9" s="398"/>
      <c r="D9" s="359"/>
      <c r="E9" s="359"/>
      <c r="F9" s="378"/>
      <c r="G9" s="398"/>
      <c r="H9" s="431"/>
      <c r="I9" s="447"/>
      <c r="J9" s="347"/>
      <c r="K9" s="347"/>
      <c r="L9" s="348"/>
      <c r="M9" s="441"/>
      <c r="N9" s="452"/>
    </row>
    <row r="10" spans="1:17" ht="18" customHeight="1">
      <c r="A10" s="464" t="s">
        <v>191</v>
      </c>
      <c r="B10" s="346" t="s">
        <v>127</v>
      </c>
      <c r="C10" s="360">
        <v>0</v>
      </c>
      <c r="D10" s="351">
        <v>2785</v>
      </c>
      <c r="E10" s="351">
        <v>0</v>
      </c>
      <c r="F10" s="374">
        <v>0</v>
      </c>
      <c r="G10" s="412">
        <v>0</v>
      </c>
      <c r="H10" s="429" t="s">
        <v>185</v>
      </c>
      <c r="I10" s="445">
        <f>(F10*160)+3550+(3*D10)</f>
        <v>11905</v>
      </c>
      <c r="J10" s="347">
        <v>3.1</v>
      </c>
      <c r="K10" s="347">
        <v>44.74</v>
      </c>
      <c r="L10" s="348">
        <v>33</v>
      </c>
      <c r="M10" s="441">
        <f>SUM(I10*2.5)</f>
        <v>29762.5</v>
      </c>
      <c r="N10" s="452"/>
    </row>
    <row r="11" spans="1:17" ht="18" customHeight="1">
      <c r="A11" s="464" t="s">
        <v>192</v>
      </c>
      <c r="B11" s="346" t="s">
        <v>128</v>
      </c>
      <c r="C11" s="360">
        <v>0</v>
      </c>
      <c r="D11" s="351">
        <v>682.8</v>
      </c>
      <c r="E11" s="351">
        <v>0</v>
      </c>
      <c r="F11" s="374">
        <v>0</v>
      </c>
      <c r="G11" s="360">
        <v>0</v>
      </c>
      <c r="H11" s="429" t="s">
        <v>185</v>
      </c>
      <c r="I11" s="445">
        <f>(F11*160)+3550+(3*D11)</f>
        <v>5598.4</v>
      </c>
      <c r="J11" s="347">
        <v>0</v>
      </c>
      <c r="K11" s="347">
        <v>0</v>
      </c>
      <c r="L11" s="348">
        <v>0</v>
      </c>
      <c r="M11" s="441">
        <f>SUM(I11*2.5)</f>
        <v>13996</v>
      </c>
      <c r="N11" s="452"/>
    </row>
    <row r="12" spans="1:17" ht="18" customHeight="1" thickBot="1">
      <c r="A12" s="464" t="s">
        <v>193</v>
      </c>
      <c r="B12" s="346" t="s">
        <v>177</v>
      </c>
      <c r="C12" s="361">
        <v>0</v>
      </c>
      <c r="D12" s="365">
        <v>536.20000000000005</v>
      </c>
      <c r="E12" s="365">
        <v>0</v>
      </c>
      <c r="F12" s="379">
        <v>0</v>
      </c>
      <c r="G12" s="413">
        <v>0</v>
      </c>
      <c r="H12" s="436" t="s">
        <v>185</v>
      </c>
      <c r="I12" s="448">
        <f>(F12*160)+3550+(3*D12)</f>
        <v>5158.6000000000004</v>
      </c>
      <c r="J12" s="347">
        <v>15.1</v>
      </c>
      <c r="K12" s="347">
        <v>12.32</v>
      </c>
      <c r="L12" s="348">
        <v>28</v>
      </c>
      <c r="M12" s="441">
        <f>SUM(I12*2.5)</f>
        <v>12896.5</v>
      </c>
      <c r="N12" s="455"/>
      <c r="O12" s="471"/>
      <c r="P12" s="476"/>
      <c r="Q12" s="472"/>
    </row>
    <row r="13" spans="1:17" ht="18" customHeight="1" thickTop="1">
      <c r="A13" s="353"/>
      <c r="B13" s="362" t="s">
        <v>167</v>
      </c>
      <c r="C13" s="388">
        <f>SUM(C10:C12)</f>
        <v>0</v>
      </c>
      <c r="D13" s="363">
        <f>SUM(D10:D12)</f>
        <v>4004</v>
      </c>
      <c r="E13" s="363">
        <f>SUM(E10:E12)</f>
        <v>0</v>
      </c>
      <c r="F13" s="363">
        <f>SUM(F10:F12)</f>
        <v>0</v>
      </c>
      <c r="G13" s="388"/>
      <c r="H13" s="432" t="s">
        <v>185</v>
      </c>
      <c r="I13" s="449">
        <f>SUM(I10:I12)</f>
        <v>22662</v>
      </c>
      <c r="J13" s="347"/>
      <c r="K13" s="347"/>
      <c r="L13" s="348"/>
      <c r="M13" s="441">
        <f>SUM(M10:M12)</f>
        <v>56655</v>
      </c>
      <c r="N13" s="456"/>
      <c r="O13" s="473"/>
      <c r="P13" s="477"/>
      <c r="Q13" s="474"/>
    </row>
    <row r="14" spans="1:17" ht="18" customHeight="1">
      <c r="A14" s="356" t="s">
        <v>72</v>
      </c>
      <c r="B14" s="357"/>
      <c r="C14" s="398"/>
      <c r="D14" s="359"/>
      <c r="E14" s="359"/>
      <c r="F14" s="378"/>
      <c r="G14" s="398"/>
      <c r="H14" s="431"/>
      <c r="I14" s="447"/>
      <c r="J14" s="347"/>
      <c r="K14" s="347"/>
      <c r="L14" s="348"/>
      <c r="M14" s="441"/>
      <c r="N14" s="452"/>
    </row>
    <row r="15" spans="1:17" ht="18" customHeight="1">
      <c r="A15" s="353"/>
      <c r="B15" s="354" t="s">
        <v>131</v>
      </c>
      <c r="C15" s="364">
        <v>0</v>
      </c>
      <c r="D15" s="355">
        <v>437</v>
      </c>
      <c r="E15" s="355">
        <v>0</v>
      </c>
      <c r="F15" s="377">
        <v>0</v>
      </c>
      <c r="G15" s="414">
        <v>0</v>
      </c>
      <c r="H15" s="435" t="s">
        <v>185</v>
      </c>
      <c r="I15" s="446">
        <f>(F15*160)+3550+ROUNDUP(3*D15,0)</f>
        <v>4861</v>
      </c>
      <c r="J15" s="347">
        <v>13.8</v>
      </c>
      <c r="K15" s="347">
        <v>10.7</v>
      </c>
      <c r="L15" s="348">
        <v>27.2</v>
      </c>
      <c r="M15" s="441">
        <f>SUM(I15*2.5)</f>
        <v>12152.5</v>
      </c>
      <c r="N15" s="457"/>
      <c r="O15" s="478"/>
      <c r="P15" s="480"/>
      <c r="Q15" s="478"/>
    </row>
    <row r="16" spans="1:17" ht="18" customHeight="1">
      <c r="A16" s="356" t="s">
        <v>180</v>
      </c>
      <c r="B16" s="357"/>
      <c r="C16" s="398"/>
      <c r="D16" s="359"/>
      <c r="E16" s="359"/>
      <c r="F16" s="378"/>
      <c r="G16" s="398"/>
      <c r="H16" s="431"/>
      <c r="I16" s="447"/>
      <c r="J16" s="347"/>
      <c r="K16" s="347"/>
      <c r="L16" s="348"/>
      <c r="M16" s="441"/>
      <c r="N16" s="452"/>
      <c r="O16" s="469"/>
      <c r="P16" s="478"/>
      <c r="Q16" s="478"/>
    </row>
    <row r="17" spans="1:17" ht="18" customHeight="1">
      <c r="A17" s="464" t="s">
        <v>195</v>
      </c>
      <c r="B17" s="346" t="s">
        <v>132</v>
      </c>
      <c r="C17" s="360">
        <v>2795814</v>
      </c>
      <c r="D17" s="351">
        <v>17441.900000000001</v>
      </c>
      <c r="E17" s="351">
        <v>134.1</v>
      </c>
      <c r="F17" s="374">
        <v>144.69999999999999</v>
      </c>
      <c r="G17" s="360">
        <f>C17/F17</f>
        <v>19321.451278507258</v>
      </c>
      <c r="H17" s="429" t="s">
        <v>185</v>
      </c>
      <c r="I17" s="445">
        <f>(F17*160)+3550+3*D17</f>
        <v>79027.700000000012</v>
      </c>
      <c r="J17" s="347">
        <v>330</v>
      </c>
      <c r="K17" s="347">
        <v>270</v>
      </c>
      <c r="L17" s="348">
        <v>404</v>
      </c>
      <c r="M17" s="441">
        <f>SUM(I17*2.5)</f>
        <v>197569.25000000003</v>
      </c>
      <c r="N17" s="452"/>
      <c r="O17" s="469"/>
      <c r="P17" s="478"/>
      <c r="Q17" s="478"/>
    </row>
    <row r="18" spans="1:17" ht="18" customHeight="1" thickBot="1">
      <c r="A18" s="464">
        <v>47</v>
      </c>
      <c r="B18" s="346" t="s">
        <v>157</v>
      </c>
      <c r="C18" s="361">
        <v>3987509</v>
      </c>
      <c r="D18" s="365">
        <v>3473.7</v>
      </c>
      <c r="E18" s="365">
        <v>318.2</v>
      </c>
      <c r="F18" s="379">
        <v>301</v>
      </c>
      <c r="G18" s="361">
        <f>C18/F18</f>
        <v>13247.538205980067</v>
      </c>
      <c r="H18" s="433" t="s">
        <v>185</v>
      </c>
      <c r="I18" s="448">
        <f>(F18*160)+3550+3*D18</f>
        <v>62131.1</v>
      </c>
      <c r="J18" s="347"/>
      <c r="K18" s="347"/>
      <c r="L18" s="348"/>
      <c r="M18" s="441"/>
      <c r="N18" s="455"/>
      <c r="O18" s="471" t="s">
        <v>210</v>
      </c>
      <c r="P18" s="476" t="s">
        <v>210</v>
      </c>
      <c r="Q18" s="472" t="s">
        <v>209</v>
      </c>
    </row>
    <row r="19" spans="1:17" ht="18" customHeight="1" thickTop="1">
      <c r="A19" s="353"/>
      <c r="B19" s="362" t="s">
        <v>188</v>
      </c>
      <c r="C19" s="388">
        <f>SUM(C17:C18)</f>
        <v>6783323</v>
      </c>
      <c r="D19" s="363">
        <f>SUM(D17:D18)</f>
        <v>20915.600000000002</v>
      </c>
      <c r="E19" s="363">
        <f>SUM(E17:E18)</f>
        <v>452.29999999999995</v>
      </c>
      <c r="F19" s="363">
        <f>SUM(F17:F18)</f>
        <v>445.7</v>
      </c>
      <c r="G19" s="388">
        <f>SUM(G17:G18)</f>
        <v>32568.989484487327</v>
      </c>
      <c r="H19" s="434" t="s">
        <v>185</v>
      </c>
      <c r="I19" s="450">
        <f>SUM(I17:I18)</f>
        <v>141158.80000000002</v>
      </c>
      <c r="J19" s="347"/>
      <c r="K19" s="347"/>
      <c r="L19" s="348"/>
      <c r="M19" s="441"/>
      <c r="N19" s="456"/>
      <c r="O19" s="473" t="s">
        <v>207</v>
      </c>
      <c r="P19" s="477" t="s">
        <v>206</v>
      </c>
      <c r="Q19" s="474" t="s">
        <v>208</v>
      </c>
    </row>
    <row r="20" spans="1:17" ht="18" customHeight="1">
      <c r="A20" s="356" t="s">
        <v>75</v>
      </c>
      <c r="B20" s="357"/>
      <c r="C20" s="398"/>
      <c r="D20" s="359"/>
      <c r="E20" s="359"/>
      <c r="F20" s="378"/>
      <c r="G20" s="398"/>
      <c r="H20" s="431"/>
      <c r="I20" s="447"/>
      <c r="J20" s="347">
        <v>441.8</v>
      </c>
      <c r="K20" s="347">
        <v>974.4</v>
      </c>
      <c r="L20" s="348">
        <v>356</v>
      </c>
      <c r="M20" s="441">
        <f>SUM(I21*2.5)</f>
        <v>255215</v>
      </c>
      <c r="N20" s="452"/>
      <c r="O20" s="469"/>
      <c r="P20" s="478"/>
      <c r="Q20" s="478"/>
    </row>
    <row r="21" spans="1:17" ht="18" customHeight="1">
      <c r="A21" s="465" t="s">
        <v>196</v>
      </c>
      <c r="B21" s="354" t="s">
        <v>133</v>
      </c>
      <c r="C21" s="364">
        <v>3972626</v>
      </c>
      <c r="D21" s="355">
        <v>16546.599999999999</v>
      </c>
      <c r="E21" s="355">
        <v>557.9</v>
      </c>
      <c r="F21" s="377">
        <v>305.60000000000002</v>
      </c>
      <c r="G21" s="364">
        <f>C21/F21</f>
        <v>12999.43062827225</v>
      </c>
      <c r="H21" s="435" t="s">
        <v>185</v>
      </c>
      <c r="I21" s="446">
        <f>(F21*160)+3550+ROUNDUP(3*D21,0)</f>
        <v>102086</v>
      </c>
      <c r="J21" s="347"/>
      <c r="K21" s="347"/>
      <c r="L21" s="348"/>
      <c r="M21" s="441"/>
      <c r="N21" s="457"/>
      <c r="O21" s="469"/>
      <c r="P21" s="467">
        <f>(F21*160)+3550+(3*D21)</f>
        <v>102085.79999999999</v>
      </c>
      <c r="Q21" s="468">
        <f>I21-P21</f>
        <v>0.20000000001164153</v>
      </c>
    </row>
    <row r="22" spans="1:17" ht="18" customHeight="1">
      <c r="A22" s="356" t="s">
        <v>77</v>
      </c>
      <c r="B22" s="357"/>
      <c r="C22" s="398"/>
      <c r="D22" s="359"/>
      <c r="E22" s="359"/>
      <c r="F22" s="378"/>
      <c r="G22" s="398"/>
      <c r="H22" s="431"/>
      <c r="I22" s="447"/>
      <c r="J22" s="347">
        <v>138.4</v>
      </c>
      <c r="K22" s="347">
        <v>214.79</v>
      </c>
      <c r="L22" s="348">
        <v>52.86</v>
      </c>
      <c r="M22" s="441">
        <f>SUM(I23*2.5)</f>
        <v>186687.5</v>
      </c>
      <c r="N22" s="452"/>
      <c r="O22" s="469"/>
      <c r="P22" s="478"/>
      <c r="Q22" s="470"/>
    </row>
    <row r="23" spans="1:17" ht="18" customHeight="1">
      <c r="A23" s="465" t="s">
        <v>194</v>
      </c>
      <c r="B23" s="354" t="s">
        <v>151</v>
      </c>
      <c r="C23" s="364">
        <v>3673367</v>
      </c>
      <c r="D23" s="355">
        <v>10311</v>
      </c>
      <c r="E23" s="355">
        <v>263.7</v>
      </c>
      <c r="F23" s="377">
        <v>251.2</v>
      </c>
      <c r="G23" s="364">
        <f>C23/F23</f>
        <v>14623.276273885351</v>
      </c>
      <c r="H23" s="435" t="s">
        <v>185</v>
      </c>
      <c r="I23" s="446">
        <f>(F23*160)+3550+(3*D23)</f>
        <v>74675</v>
      </c>
      <c r="J23" s="347"/>
      <c r="K23" s="347"/>
      <c r="L23" s="348"/>
      <c r="M23" s="441"/>
      <c r="N23" s="457"/>
      <c r="O23" s="478"/>
      <c r="P23" s="480"/>
      <c r="Q23" s="478"/>
    </row>
    <row r="24" spans="1:17" ht="18" customHeight="1">
      <c r="A24" s="356" t="s">
        <v>78</v>
      </c>
      <c r="B24" s="357"/>
      <c r="C24" s="398"/>
      <c r="D24" s="359"/>
      <c r="E24" s="359"/>
      <c r="F24" s="378"/>
      <c r="G24" s="398"/>
      <c r="H24" s="431"/>
      <c r="I24" s="447"/>
      <c r="J24" s="347">
        <v>0</v>
      </c>
      <c r="K24" s="347">
        <v>0</v>
      </c>
      <c r="L24" s="348">
        <v>0</v>
      </c>
      <c r="M24" s="441">
        <f>SUM(I25*2.5)</f>
        <v>56760.25</v>
      </c>
      <c r="N24" s="452"/>
    </row>
    <row r="25" spans="1:17" ht="18" customHeight="1">
      <c r="A25" s="464" t="s">
        <v>198</v>
      </c>
      <c r="B25" s="346" t="s">
        <v>134</v>
      </c>
      <c r="C25" s="360">
        <v>0</v>
      </c>
      <c r="D25" s="351">
        <v>6384.7</v>
      </c>
      <c r="E25" s="351">
        <v>0</v>
      </c>
      <c r="F25" s="374">
        <v>0</v>
      </c>
      <c r="G25" s="360">
        <v>0</v>
      </c>
      <c r="H25" s="429" t="s">
        <v>185</v>
      </c>
      <c r="I25" s="445">
        <f>(F25*160)+3550+3*D25</f>
        <v>22704.1</v>
      </c>
      <c r="J25" s="347">
        <v>0</v>
      </c>
      <c r="K25" s="347">
        <v>0</v>
      </c>
      <c r="L25" s="348">
        <v>0</v>
      </c>
      <c r="M25" s="441">
        <f>SUM(I26*2.5)</f>
        <v>25802.5</v>
      </c>
      <c r="N25" s="452"/>
    </row>
    <row r="26" spans="1:17" ht="18" customHeight="1" thickBot="1">
      <c r="A26" s="464" t="s">
        <v>199</v>
      </c>
      <c r="B26" s="346" t="s">
        <v>178</v>
      </c>
      <c r="C26" s="361">
        <v>0</v>
      </c>
      <c r="D26" s="365">
        <v>2257</v>
      </c>
      <c r="E26" s="365">
        <v>0</v>
      </c>
      <c r="F26" s="379">
        <v>0</v>
      </c>
      <c r="G26" s="361">
        <v>0</v>
      </c>
      <c r="H26" s="433" t="s">
        <v>185</v>
      </c>
      <c r="I26" s="448">
        <f>(F26*160)+3550+3*D26</f>
        <v>10321</v>
      </c>
      <c r="J26" s="347"/>
      <c r="K26" s="347"/>
      <c r="L26" s="348"/>
      <c r="M26" s="441">
        <f>SUM(M24:M25)</f>
        <v>82562.75</v>
      </c>
      <c r="N26" s="455"/>
    </row>
    <row r="27" spans="1:17" ht="18" customHeight="1" thickTop="1">
      <c r="A27" s="353"/>
      <c r="B27" s="362" t="s">
        <v>168</v>
      </c>
      <c r="C27" s="388">
        <f>SUM(C25:C26)</f>
        <v>0</v>
      </c>
      <c r="D27" s="363">
        <f>SUM(D25:D26)</f>
        <v>8641.7000000000007</v>
      </c>
      <c r="E27" s="363">
        <f>SUM(E25:E26)</f>
        <v>0</v>
      </c>
      <c r="F27" s="363">
        <f>SUM(F25:F26)</f>
        <v>0</v>
      </c>
      <c r="G27" s="388">
        <v>0</v>
      </c>
      <c r="H27" s="432" t="s">
        <v>185</v>
      </c>
      <c r="I27" s="449">
        <f>SUM(I25:I26)</f>
        <v>33025.1</v>
      </c>
      <c r="J27" s="347">
        <f>SUM(J28:J32)</f>
        <v>1521</v>
      </c>
      <c r="K27" s="347"/>
      <c r="L27" s="348"/>
      <c r="M27" s="441"/>
      <c r="N27" s="456"/>
    </row>
    <row r="28" spans="1:17" ht="18" customHeight="1">
      <c r="A28" s="356" t="s">
        <v>146</v>
      </c>
      <c r="B28" s="357"/>
      <c r="C28" s="398"/>
      <c r="D28" s="359"/>
      <c r="E28" s="359"/>
      <c r="F28" s="378"/>
      <c r="G28" s="398"/>
      <c r="H28" s="431"/>
      <c r="I28" s="447"/>
      <c r="J28" s="347">
        <v>489</v>
      </c>
      <c r="K28" s="347">
        <v>342</v>
      </c>
      <c r="L28" s="348">
        <v>125</v>
      </c>
      <c r="M28" s="441">
        <f>SUM(I29*2.5)</f>
        <v>176100</v>
      </c>
      <c r="N28" s="452"/>
    </row>
    <row r="29" spans="1:17" ht="18" customHeight="1">
      <c r="A29" s="464" t="s">
        <v>201</v>
      </c>
      <c r="B29" s="346" t="s">
        <v>136</v>
      </c>
      <c r="C29" s="360">
        <v>4504525</v>
      </c>
      <c r="D29" s="351">
        <v>10350</v>
      </c>
      <c r="E29" s="351">
        <v>70</v>
      </c>
      <c r="F29" s="374">
        <v>224</v>
      </c>
      <c r="G29" s="360">
        <f>C29/F29</f>
        <v>20109.486607142859</v>
      </c>
      <c r="H29" s="429" t="s">
        <v>185</v>
      </c>
      <c r="I29" s="445">
        <f t="shared" ref="I29:I34" si="0">(F29*160)+3550+3*D29</f>
        <v>70440</v>
      </c>
      <c r="J29" s="347">
        <v>305</v>
      </c>
      <c r="K29" s="347">
        <v>238</v>
      </c>
      <c r="L29" s="348">
        <v>253</v>
      </c>
      <c r="M29" s="441">
        <f>SUM(I30*2.5)</f>
        <v>432602</v>
      </c>
      <c r="N29" s="452"/>
    </row>
    <row r="30" spans="1:17" ht="18" customHeight="1">
      <c r="A30" s="464" t="s">
        <v>202</v>
      </c>
      <c r="B30" s="346" t="s">
        <v>143</v>
      </c>
      <c r="C30" s="360">
        <v>7419598</v>
      </c>
      <c r="D30" s="351">
        <v>23634</v>
      </c>
      <c r="E30" s="351">
        <v>326.89999999999998</v>
      </c>
      <c r="F30" s="374">
        <v>616.17999999999995</v>
      </c>
      <c r="G30" s="360">
        <f>C30/F30</f>
        <v>12041.283391216853</v>
      </c>
      <c r="H30" s="429" t="s">
        <v>185</v>
      </c>
      <c r="I30" s="445">
        <f t="shared" si="0"/>
        <v>173040.8</v>
      </c>
      <c r="J30" s="347"/>
      <c r="K30" s="347"/>
      <c r="L30" s="348"/>
      <c r="M30" s="441">
        <f>SUM(I31*2.5)</f>
        <v>350572.5</v>
      </c>
      <c r="N30" s="452"/>
    </row>
    <row r="31" spans="1:17" ht="18" customHeight="1">
      <c r="A31" s="464" t="s">
        <v>205</v>
      </c>
      <c r="B31" s="346" t="s">
        <v>137</v>
      </c>
      <c r="C31" s="360">
        <v>4973475</v>
      </c>
      <c r="D31" s="351">
        <v>22309</v>
      </c>
      <c r="E31" s="351">
        <v>615.35</v>
      </c>
      <c r="F31" s="374">
        <v>435.95</v>
      </c>
      <c r="G31" s="360">
        <f>C31/F31</f>
        <v>11408.361050579195</v>
      </c>
      <c r="H31" s="429" t="s">
        <v>185</v>
      </c>
      <c r="I31" s="445">
        <f t="shared" si="0"/>
        <v>140229</v>
      </c>
      <c r="J31" s="347">
        <v>507</v>
      </c>
      <c r="K31" s="347">
        <v>691</v>
      </c>
      <c r="L31" s="348">
        <v>528</v>
      </c>
      <c r="M31" s="441">
        <f>SUM(I32*2.5)</f>
        <v>237056</v>
      </c>
      <c r="N31" s="452"/>
    </row>
    <row r="32" spans="1:17" ht="18" customHeight="1">
      <c r="A32" s="464" t="s">
        <v>204</v>
      </c>
      <c r="B32" s="346" t="s">
        <v>155</v>
      </c>
      <c r="C32" s="360">
        <v>3592661</v>
      </c>
      <c r="D32" s="351">
        <v>18126</v>
      </c>
      <c r="E32" s="351">
        <v>223.63</v>
      </c>
      <c r="F32" s="374">
        <v>230.59</v>
      </c>
      <c r="G32" s="360">
        <f>C32/F32</f>
        <v>15580.298365063532</v>
      </c>
      <c r="H32" s="429" t="s">
        <v>185</v>
      </c>
      <c r="I32" s="445">
        <f t="shared" si="0"/>
        <v>94822.399999999994</v>
      </c>
      <c r="J32" s="347">
        <v>220</v>
      </c>
      <c r="K32" s="347">
        <v>552</v>
      </c>
      <c r="L32" s="348">
        <v>858</v>
      </c>
      <c r="M32" s="441">
        <f>SUM(I33*2.5)</f>
        <v>71537.5</v>
      </c>
      <c r="N32" s="452"/>
    </row>
    <row r="33" spans="1:17" ht="18" customHeight="1">
      <c r="A33" s="464" t="s">
        <v>203</v>
      </c>
      <c r="B33" s="346" t="s">
        <v>138</v>
      </c>
      <c r="C33" s="360">
        <v>2470315</v>
      </c>
      <c r="D33" s="351">
        <v>2755</v>
      </c>
      <c r="E33" s="351">
        <v>84.7</v>
      </c>
      <c r="F33" s="374">
        <v>105</v>
      </c>
      <c r="G33" s="360">
        <f>C33/F33</f>
        <v>23526.809523809523</v>
      </c>
      <c r="H33" s="429" t="s">
        <v>185</v>
      </c>
      <c r="I33" s="445">
        <f t="shared" si="0"/>
        <v>28615</v>
      </c>
      <c r="J33" s="347"/>
      <c r="K33" s="347"/>
      <c r="L33" s="348"/>
      <c r="M33" s="441">
        <f>SUM(M28:M32)</f>
        <v>1267868</v>
      </c>
      <c r="N33" s="452"/>
    </row>
    <row r="34" spans="1:17" ht="18" customHeight="1" thickBot="1">
      <c r="A34" s="464">
        <v>49</v>
      </c>
      <c r="B34" s="346" t="s">
        <v>183</v>
      </c>
      <c r="C34" s="360">
        <v>0</v>
      </c>
      <c r="D34" s="351">
        <v>3370</v>
      </c>
      <c r="E34" s="351">
        <v>0</v>
      </c>
      <c r="F34" s="379">
        <v>0</v>
      </c>
      <c r="G34" s="415">
        <v>0</v>
      </c>
      <c r="H34" s="433" t="s">
        <v>185</v>
      </c>
      <c r="I34" s="448">
        <f t="shared" si="0"/>
        <v>13660</v>
      </c>
      <c r="J34" s="347"/>
      <c r="K34" s="347"/>
      <c r="L34" s="348"/>
      <c r="M34" s="441"/>
      <c r="N34" s="455"/>
      <c r="O34" s="479" t="s">
        <v>211</v>
      </c>
      <c r="P34" s="479"/>
      <c r="Q34" s="479"/>
    </row>
    <row r="35" spans="1:17" ht="18" customHeight="1" thickTop="1">
      <c r="A35" s="353"/>
      <c r="B35" s="362" t="s">
        <v>169</v>
      </c>
      <c r="C35" s="385">
        <f>SUM(C29:C34)</f>
        <v>22960574</v>
      </c>
      <c r="D35" s="371">
        <f>SUM(D29:D34)</f>
        <v>80544</v>
      </c>
      <c r="E35" s="371">
        <f>SUM(E29:E34)</f>
        <v>1320.5800000000002</v>
      </c>
      <c r="F35" s="371">
        <f>SUM(F29:F34)</f>
        <v>1611.7199999999998</v>
      </c>
      <c r="G35" s="385">
        <f>SUM(G29:G34)</f>
        <v>82666.23893781197</v>
      </c>
      <c r="H35" s="432" t="s">
        <v>185</v>
      </c>
      <c r="I35" s="449">
        <f>SUM(I29:I34)</f>
        <v>520807.19999999995</v>
      </c>
      <c r="J35" s="347"/>
      <c r="K35" s="347"/>
      <c r="L35" s="348"/>
      <c r="M35" s="441"/>
      <c r="N35" s="456"/>
    </row>
    <row r="36" spans="1:17" ht="18" customHeight="1">
      <c r="A36" s="356" t="s">
        <v>86</v>
      </c>
      <c r="B36" s="357"/>
      <c r="C36" s="360"/>
      <c r="D36" s="351"/>
      <c r="E36" s="351"/>
      <c r="F36" s="378"/>
      <c r="G36" s="398"/>
      <c r="H36" s="431"/>
      <c r="I36" s="447"/>
      <c r="J36" s="347">
        <v>37.1</v>
      </c>
      <c r="K36" s="347">
        <v>84.7</v>
      </c>
      <c r="L36" s="348">
        <v>134.4</v>
      </c>
      <c r="M36" s="441">
        <f>SUM(I37*2.5)</f>
        <v>78682.5</v>
      </c>
      <c r="N36" s="452"/>
    </row>
    <row r="37" spans="1:17" ht="18" customHeight="1" thickBot="1">
      <c r="A37" s="466" t="s">
        <v>200</v>
      </c>
      <c r="B37" s="367" t="s">
        <v>139</v>
      </c>
      <c r="C37" s="361">
        <v>1788496</v>
      </c>
      <c r="D37" s="365">
        <v>4129</v>
      </c>
      <c r="E37" s="365">
        <v>57.5</v>
      </c>
      <c r="F37" s="379">
        <v>97.1</v>
      </c>
      <c r="G37" s="361">
        <f>C37/F37</f>
        <v>18419.114315139032</v>
      </c>
      <c r="H37" s="433" t="s">
        <v>185</v>
      </c>
      <c r="I37" s="448">
        <f>(F37*160)+3550+3*D37</f>
        <v>31473</v>
      </c>
      <c r="J37" s="347"/>
      <c r="K37" s="347"/>
      <c r="L37" s="348"/>
      <c r="M37" s="441" t="e">
        <f>SUM(#REF!*2.5)</f>
        <v>#REF!</v>
      </c>
      <c r="N37" s="455"/>
    </row>
    <row r="38" spans="1:17" ht="27.75" customHeight="1" thickTop="1" thickBot="1">
      <c r="A38" s="2082" t="s">
        <v>44</v>
      </c>
      <c r="B38" s="2083"/>
      <c r="C38" s="368">
        <f>SUM(C6,C13,C15,C19,C21,C23,C27,C35,C37)</f>
        <v>46128231</v>
      </c>
      <c r="D38" s="369">
        <f>SUM(D6,D13,D15,D19,D21,D23,D27,D35,D37)</f>
        <v>178257.90000000002</v>
      </c>
      <c r="E38" s="369">
        <f>SUM(E6,E13,E15,E19,E21,E23,E27,E35,E37)</f>
        <v>2863.38</v>
      </c>
      <c r="F38" s="369">
        <f>SUM(F6,F8,F13,F15,F19,F21,F23,F27,F35,F37)</f>
        <v>3166.52</v>
      </c>
      <c r="G38" s="368">
        <f>C38/F38</f>
        <v>14567.48449401867</v>
      </c>
      <c r="H38" s="416" t="s">
        <v>185</v>
      </c>
      <c r="I38" s="481">
        <f>I6+I8+I13+I15+I19+I21+I23+I27+I35+I37</f>
        <v>1114826.1000000001</v>
      </c>
      <c r="N38" s="454"/>
    </row>
    <row r="39" spans="1:17" ht="18" customHeight="1">
      <c r="F39" s="390"/>
      <c r="G39" s="401"/>
      <c r="H39" s="417"/>
    </row>
  </sheetData>
  <mergeCells count="10">
    <mergeCell ref="I1:I2"/>
    <mergeCell ref="A1:A2"/>
    <mergeCell ref="B1:B2"/>
    <mergeCell ref="C1:C2"/>
    <mergeCell ref="D1:D2"/>
    <mergeCell ref="A38:B38"/>
    <mergeCell ref="E1:E2"/>
    <mergeCell ref="F1:F2"/>
    <mergeCell ref="G1:G2"/>
    <mergeCell ref="H1:H2"/>
  </mergeCells>
  <phoneticPr fontId="0" type="noConversion"/>
  <pageMargins left="0.92" right="0.75" top="0.7" bottom="0.54" header="0.42" footer="0.35"/>
  <pageSetup scale="77" orientation="landscape" r:id="rId1"/>
  <headerFooter alignWithMargins="0">
    <oddHeader>&amp;C&amp;"Arial,Bold"&amp;12Summary of 2006 Texas Coal Production and Annual Fee Payments</oddHeader>
    <oddFooter>&amp;L&amp;D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N41"/>
  <sheetViews>
    <sheetView zoomScale="75" workbookViewId="0">
      <selection activeCell="Q2" sqref="Q2:Z2"/>
    </sheetView>
  </sheetViews>
  <sheetFormatPr defaultColWidth="9.140625" defaultRowHeight="18" customHeight="1"/>
  <cols>
    <col min="1" max="1" width="18.85546875" style="178" customWidth="1"/>
    <col min="2" max="2" width="24.85546875" style="178" bestFit="1" customWidth="1"/>
    <col min="3" max="3" width="16.42578125" style="402" customWidth="1"/>
    <col min="4" max="4" width="18.85546875" style="389" customWidth="1"/>
    <col min="5" max="5" width="19.42578125" style="382" customWidth="1"/>
    <col min="6" max="6" width="13.85546875" style="402" customWidth="1"/>
    <col min="7" max="7" width="4.140625" style="418" customWidth="1"/>
    <col min="8" max="8" width="13.42578125" style="178" customWidth="1"/>
    <col min="9" max="10" width="8.5703125" style="178" hidden="1" customWidth="1"/>
    <col min="11" max="11" width="8.5703125" style="337" hidden="1" customWidth="1"/>
    <col min="12" max="12" width="14.5703125" style="337" hidden="1" customWidth="1"/>
    <col min="13" max="13" width="2.42578125" style="337" customWidth="1"/>
    <col min="14" max="14" width="9.140625" style="395"/>
    <col min="15" max="16384" width="9.140625" style="337"/>
  </cols>
  <sheetData>
    <row r="1" spans="1:14" ht="18" customHeight="1" thickTop="1">
      <c r="A1" s="2092" t="s">
        <v>6</v>
      </c>
      <c r="B1" s="2094" t="s">
        <v>162</v>
      </c>
      <c r="C1" s="2077" t="s">
        <v>159</v>
      </c>
      <c r="D1" s="2084" t="s">
        <v>187</v>
      </c>
      <c r="E1" s="2080" t="s">
        <v>186</v>
      </c>
      <c r="F1" s="2086" t="s">
        <v>175</v>
      </c>
      <c r="G1" s="2088" t="s">
        <v>184</v>
      </c>
      <c r="H1" s="2090" t="s">
        <v>164</v>
      </c>
      <c r="I1" s="333" t="s">
        <v>108</v>
      </c>
      <c r="J1" s="334" t="s">
        <v>108</v>
      </c>
      <c r="K1" s="335" t="s">
        <v>108</v>
      </c>
      <c r="L1" s="439" t="s">
        <v>148</v>
      </c>
      <c r="M1" s="453"/>
      <c r="N1" s="396"/>
    </row>
    <row r="2" spans="1:14" ht="18" customHeight="1" thickBot="1">
      <c r="A2" s="2093"/>
      <c r="B2" s="2095"/>
      <c r="C2" s="2078"/>
      <c r="D2" s="2096"/>
      <c r="E2" s="2081"/>
      <c r="F2" s="2087"/>
      <c r="G2" s="2089"/>
      <c r="H2" s="2091"/>
      <c r="I2" s="333">
        <v>1999</v>
      </c>
      <c r="J2" s="334">
        <v>1998</v>
      </c>
      <c r="K2" s="335">
        <v>1998</v>
      </c>
      <c r="L2" s="440" t="s">
        <v>149</v>
      </c>
      <c r="M2" s="454"/>
    </row>
    <row r="3" spans="1:14" ht="18" customHeight="1">
      <c r="A3" s="339" t="s">
        <v>110</v>
      </c>
      <c r="B3" s="340"/>
      <c r="C3" s="397"/>
      <c r="D3" s="392"/>
      <c r="E3" s="373"/>
      <c r="F3" s="397"/>
      <c r="G3" s="428"/>
      <c r="H3" s="442"/>
      <c r="I3" s="342"/>
      <c r="J3" s="342"/>
      <c r="K3" s="343"/>
      <c r="L3" s="343"/>
      <c r="M3" s="452"/>
    </row>
    <row r="4" spans="1:14" ht="18" customHeight="1">
      <c r="A4" s="345"/>
      <c r="B4" s="346" t="s">
        <v>125</v>
      </c>
      <c r="C4" s="360">
        <v>3314025</v>
      </c>
      <c r="D4" s="351">
        <v>90.47</v>
      </c>
      <c r="E4" s="374">
        <v>222.77</v>
      </c>
      <c r="F4" s="360">
        <f>C4/E4</f>
        <v>14876.442070296718</v>
      </c>
      <c r="G4" s="429" t="s">
        <v>185</v>
      </c>
      <c r="H4" s="443">
        <f>(E4*390)</f>
        <v>86880.3</v>
      </c>
      <c r="I4" s="347">
        <v>256</v>
      </c>
      <c r="J4" s="347">
        <v>300</v>
      </c>
      <c r="K4" s="348">
        <v>317</v>
      </c>
      <c r="L4" s="441" t="e">
        <f>SUM(#REF!*2.5)</f>
        <v>#REF!</v>
      </c>
      <c r="M4" s="452"/>
    </row>
    <row r="5" spans="1:14" ht="18" customHeight="1" thickBot="1">
      <c r="A5" s="345"/>
      <c r="B5" s="346" t="s">
        <v>165</v>
      </c>
      <c r="C5" s="437">
        <v>2438271</v>
      </c>
      <c r="D5" s="393">
        <v>514.5</v>
      </c>
      <c r="E5" s="375">
        <v>223.88</v>
      </c>
      <c r="F5" s="412">
        <f>C5/E5</f>
        <v>10890.972842594247</v>
      </c>
      <c r="G5" s="429" t="s">
        <v>185</v>
      </c>
      <c r="H5" s="443">
        <f>(E5*390)</f>
        <v>87313.2</v>
      </c>
      <c r="I5" s="347"/>
      <c r="J5" s="347"/>
      <c r="K5" s="348"/>
      <c r="L5" s="343"/>
      <c r="M5" s="455"/>
    </row>
    <row r="6" spans="1:14" ht="18" customHeight="1" thickTop="1">
      <c r="A6" s="353"/>
      <c r="B6" s="362" t="s">
        <v>166</v>
      </c>
      <c r="C6" s="438">
        <f>SUM(C4,C5)</f>
        <v>5752296</v>
      </c>
      <c r="D6" s="394">
        <f>SUM(D4,D5)</f>
        <v>604.97</v>
      </c>
      <c r="E6" s="376">
        <f>SUM(E4,E5)</f>
        <v>446.65</v>
      </c>
      <c r="F6" s="385"/>
      <c r="G6" s="430" t="s">
        <v>185</v>
      </c>
      <c r="H6" s="444">
        <f>SUM(H4,H5)</f>
        <v>174193.5</v>
      </c>
      <c r="I6" s="347"/>
      <c r="J6" s="347"/>
      <c r="K6" s="348"/>
      <c r="L6" s="343"/>
      <c r="M6" s="456"/>
    </row>
    <row r="7" spans="1:14" ht="18" customHeight="1">
      <c r="A7" s="352" t="s">
        <v>179</v>
      </c>
      <c r="B7" s="346"/>
      <c r="C7" s="437"/>
      <c r="D7" s="393"/>
      <c r="E7" s="375"/>
      <c r="F7" s="360"/>
      <c r="G7" s="429"/>
      <c r="H7" s="445"/>
      <c r="I7" s="347"/>
      <c r="J7" s="347"/>
      <c r="K7" s="348"/>
      <c r="L7" s="441"/>
      <c r="M7" s="452"/>
    </row>
    <row r="8" spans="1:14" ht="18" customHeight="1">
      <c r="A8" s="353"/>
      <c r="B8" s="354" t="s">
        <v>144</v>
      </c>
      <c r="C8" s="364">
        <v>0</v>
      </c>
      <c r="D8" s="355">
        <v>0</v>
      </c>
      <c r="E8" s="377">
        <v>0</v>
      </c>
      <c r="F8" s="414">
        <v>0</v>
      </c>
      <c r="G8" s="435" t="s">
        <v>185</v>
      </c>
      <c r="H8" s="446">
        <f>(E8*390)</f>
        <v>0</v>
      </c>
      <c r="I8" s="347"/>
      <c r="J8" s="347"/>
      <c r="K8" s="348"/>
      <c r="L8" s="441">
        <f>SUM(H8*2.5)</f>
        <v>0</v>
      </c>
      <c r="M8" s="457"/>
    </row>
    <row r="9" spans="1:14" ht="18" customHeight="1">
      <c r="A9" s="356" t="s">
        <v>147</v>
      </c>
      <c r="B9" s="357"/>
      <c r="C9" s="398"/>
      <c r="D9" s="359"/>
      <c r="E9" s="378"/>
      <c r="F9" s="398"/>
      <c r="G9" s="431"/>
      <c r="H9" s="447"/>
      <c r="I9" s="347"/>
      <c r="J9" s="347"/>
      <c r="K9" s="348"/>
      <c r="L9" s="441"/>
      <c r="M9" s="452"/>
    </row>
    <row r="10" spans="1:14" ht="18" customHeight="1">
      <c r="A10" s="345"/>
      <c r="B10" s="346" t="s">
        <v>127</v>
      </c>
      <c r="C10" s="360">
        <v>0</v>
      </c>
      <c r="D10" s="351">
        <v>0</v>
      </c>
      <c r="E10" s="374">
        <v>0</v>
      </c>
      <c r="F10" s="412">
        <v>0</v>
      </c>
      <c r="G10" s="429" t="s">
        <v>185</v>
      </c>
      <c r="H10" s="445">
        <f>(E10*390)</f>
        <v>0</v>
      </c>
      <c r="I10" s="347">
        <v>3.1</v>
      </c>
      <c r="J10" s="347">
        <v>44.74</v>
      </c>
      <c r="K10" s="348">
        <v>33</v>
      </c>
      <c r="L10" s="441">
        <f>SUM(H10*2.5)</f>
        <v>0</v>
      </c>
      <c r="M10" s="452"/>
    </row>
    <row r="11" spans="1:14" ht="18" customHeight="1">
      <c r="A11" s="345"/>
      <c r="B11" s="346" t="s">
        <v>128</v>
      </c>
      <c r="C11" s="360">
        <v>0</v>
      </c>
      <c r="D11" s="351">
        <v>3.99</v>
      </c>
      <c r="E11" s="374">
        <v>0</v>
      </c>
      <c r="F11" s="360">
        <v>0</v>
      </c>
      <c r="G11" s="429" t="s">
        <v>185</v>
      </c>
      <c r="H11" s="445">
        <f>(E11*390)</f>
        <v>0</v>
      </c>
      <c r="I11" s="347">
        <v>0</v>
      </c>
      <c r="J11" s="347">
        <v>0</v>
      </c>
      <c r="K11" s="348">
        <v>0</v>
      </c>
      <c r="L11" s="441">
        <f>SUM(H11*2.5)</f>
        <v>0</v>
      </c>
      <c r="M11" s="452"/>
    </row>
    <row r="12" spans="1:14" ht="18" customHeight="1" thickBot="1">
      <c r="A12" s="345"/>
      <c r="B12" s="346" t="s">
        <v>177</v>
      </c>
      <c r="C12" s="361">
        <v>0</v>
      </c>
      <c r="D12" s="365">
        <v>0</v>
      </c>
      <c r="E12" s="379">
        <v>0</v>
      </c>
      <c r="F12" s="413">
        <v>0</v>
      </c>
      <c r="G12" s="436" t="s">
        <v>185</v>
      </c>
      <c r="H12" s="448">
        <f>(E12*390)</f>
        <v>0</v>
      </c>
      <c r="I12" s="347">
        <v>15.1</v>
      </c>
      <c r="J12" s="347">
        <v>12.32</v>
      </c>
      <c r="K12" s="348">
        <v>28</v>
      </c>
      <c r="L12" s="441">
        <f>SUM(H12*2.5)</f>
        <v>0</v>
      </c>
      <c r="M12" s="455"/>
    </row>
    <row r="13" spans="1:14" ht="18" customHeight="1" thickTop="1">
      <c r="A13" s="353"/>
      <c r="B13" s="362" t="s">
        <v>167</v>
      </c>
      <c r="C13" s="388">
        <f>SUM(C10:C12)</f>
        <v>0</v>
      </c>
      <c r="D13" s="363">
        <f>SUM(D10:D12)</f>
        <v>3.99</v>
      </c>
      <c r="E13" s="380">
        <f>SUM(E10:E12)</f>
        <v>0</v>
      </c>
      <c r="F13" s="400"/>
      <c r="G13" s="432" t="s">
        <v>185</v>
      </c>
      <c r="H13" s="449">
        <f>SUM(H10:H12)</f>
        <v>0</v>
      </c>
      <c r="I13" s="347"/>
      <c r="J13" s="347"/>
      <c r="K13" s="348"/>
      <c r="L13" s="441">
        <f>SUM(L10:L12)</f>
        <v>0</v>
      </c>
      <c r="M13" s="456"/>
    </row>
    <row r="14" spans="1:14" ht="18" customHeight="1">
      <c r="A14" s="356" t="s">
        <v>116</v>
      </c>
      <c r="B14" s="357"/>
      <c r="C14" s="398"/>
      <c r="D14" s="359"/>
      <c r="E14" s="378"/>
      <c r="F14" s="398"/>
      <c r="G14" s="431"/>
      <c r="H14" s="447"/>
      <c r="I14" s="347"/>
      <c r="J14" s="347"/>
      <c r="K14" s="348"/>
      <c r="L14" s="441"/>
      <c r="M14" s="452"/>
    </row>
    <row r="15" spans="1:14" ht="18" customHeight="1">
      <c r="A15" s="353"/>
      <c r="B15" s="354" t="s">
        <v>130</v>
      </c>
      <c r="C15" s="364">
        <v>0</v>
      </c>
      <c r="D15" s="355">
        <v>0</v>
      </c>
      <c r="E15" s="377">
        <v>0</v>
      </c>
      <c r="F15" s="414">
        <v>0</v>
      </c>
      <c r="G15" s="435" t="s">
        <v>185</v>
      </c>
      <c r="H15" s="446">
        <f>(E15*390)</f>
        <v>0</v>
      </c>
      <c r="I15" s="347">
        <v>0</v>
      </c>
      <c r="J15" s="347">
        <v>0</v>
      </c>
      <c r="K15" s="348">
        <v>0</v>
      </c>
      <c r="L15" s="441">
        <f>SUM(H15*2.5)</f>
        <v>0</v>
      </c>
      <c r="M15" s="457"/>
    </row>
    <row r="16" spans="1:14" ht="18" customHeight="1">
      <c r="A16" s="356" t="s">
        <v>72</v>
      </c>
      <c r="B16" s="357"/>
      <c r="C16" s="398"/>
      <c r="D16" s="359"/>
      <c r="E16" s="378"/>
      <c r="F16" s="398"/>
      <c r="G16" s="431"/>
      <c r="H16" s="447"/>
      <c r="I16" s="347"/>
      <c r="J16" s="347"/>
      <c r="K16" s="348"/>
      <c r="L16" s="441"/>
      <c r="M16" s="452"/>
    </row>
    <row r="17" spans="1:13" ht="18" customHeight="1">
      <c r="A17" s="353"/>
      <c r="B17" s="354" t="s">
        <v>131</v>
      </c>
      <c r="C17" s="364">
        <v>0</v>
      </c>
      <c r="D17" s="355">
        <v>0</v>
      </c>
      <c r="E17" s="377">
        <v>0</v>
      </c>
      <c r="F17" s="414">
        <v>0</v>
      </c>
      <c r="G17" s="435" t="s">
        <v>185</v>
      </c>
      <c r="H17" s="446">
        <f>(E17*390)</f>
        <v>0</v>
      </c>
      <c r="I17" s="347">
        <v>13.8</v>
      </c>
      <c r="J17" s="347">
        <v>10.7</v>
      </c>
      <c r="K17" s="348">
        <v>27.2</v>
      </c>
      <c r="L17" s="441">
        <f>SUM(H17*2.5)</f>
        <v>0</v>
      </c>
      <c r="M17" s="457"/>
    </row>
    <row r="18" spans="1:13" ht="18" customHeight="1">
      <c r="A18" s="356" t="s">
        <v>180</v>
      </c>
      <c r="B18" s="357"/>
      <c r="C18" s="398"/>
      <c r="D18" s="359"/>
      <c r="E18" s="378"/>
      <c r="F18" s="398"/>
      <c r="G18" s="431"/>
      <c r="H18" s="447"/>
      <c r="I18" s="347"/>
      <c r="J18" s="347"/>
      <c r="K18" s="348"/>
      <c r="L18" s="441"/>
      <c r="M18" s="452"/>
    </row>
    <row r="19" spans="1:13" ht="18" customHeight="1">
      <c r="A19" s="345"/>
      <c r="B19" s="346" t="s">
        <v>132</v>
      </c>
      <c r="C19" s="360">
        <v>5357121</v>
      </c>
      <c r="D19" s="351">
        <v>131.69999999999999</v>
      </c>
      <c r="E19" s="374">
        <v>369.7</v>
      </c>
      <c r="F19" s="360">
        <f>C19/E19</f>
        <v>14490.454422504734</v>
      </c>
      <c r="G19" s="429" t="s">
        <v>185</v>
      </c>
      <c r="H19" s="445">
        <f>(E19*390)</f>
        <v>144183</v>
      </c>
      <c r="I19" s="347">
        <v>330</v>
      </c>
      <c r="J19" s="347">
        <v>270</v>
      </c>
      <c r="K19" s="348">
        <v>404</v>
      </c>
      <c r="L19" s="441">
        <f>SUM(H19*2.5)</f>
        <v>360457.5</v>
      </c>
      <c r="M19" s="452"/>
    </row>
    <row r="20" spans="1:13" ht="18" customHeight="1" thickBot="1">
      <c r="A20" s="345"/>
      <c r="B20" s="346" t="s">
        <v>157</v>
      </c>
      <c r="C20" s="361">
        <v>1615976</v>
      </c>
      <c r="D20" s="365">
        <v>329.1</v>
      </c>
      <c r="E20" s="379">
        <v>152.30000000000001</v>
      </c>
      <c r="F20" s="361">
        <f>C20/E20</f>
        <v>10610.479317137228</v>
      </c>
      <c r="G20" s="433" t="s">
        <v>185</v>
      </c>
      <c r="H20" s="448">
        <f>(E20*390)</f>
        <v>59397.000000000007</v>
      </c>
      <c r="I20" s="347"/>
      <c r="J20" s="347"/>
      <c r="K20" s="348"/>
      <c r="L20" s="441"/>
      <c r="M20" s="455"/>
    </row>
    <row r="21" spans="1:13" ht="18" customHeight="1" thickTop="1">
      <c r="A21" s="353"/>
      <c r="B21" s="362" t="s">
        <v>188</v>
      </c>
      <c r="C21" s="388">
        <f>SUM(C19:C20)</f>
        <v>6973097</v>
      </c>
      <c r="D21" s="363">
        <f>SUM(D19:D20)</f>
        <v>460.8</v>
      </c>
      <c r="E21" s="381">
        <f>SUM(E19:E20)</f>
        <v>522</v>
      </c>
      <c r="F21" s="388">
        <f>C21/E21</f>
        <v>13358.42337164751</v>
      </c>
      <c r="G21" s="434" t="s">
        <v>185</v>
      </c>
      <c r="H21" s="450">
        <f>SUM(H19:H20)</f>
        <v>203580</v>
      </c>
      <c r="I21" s="347"/>
      <c r="J21" s="347"/>
      <c r="K21" s="348"/>
      <c r="L21" s="441"/>
      <c r="M21" s="456"/>
    </row>
    <row r="22" spans="1:13" ht="18" customHeight="1">
      <c r="A22" s="356" t="s">
        <v>75</v>
      </c>
      <c r="B22" s="357"/>
      <c r="C22" s="398"/>
      <c r="D22" s="359"/>
      <c r="E22" s="378"/>
      <c r="F22" s="398"/>
      <c r="G22" s="431"/>
      <c r="H22" s="447"/>
      <c r="I22" s="347">
        <v>441.8</v>
      </c>
      <c r="J22" s="347">
        <v>974.4</v>
      </c>
      <c r="K22" s="348">
        <v>356</v>
      </c>
      <c r="L22" s="441">
        <f>SUM(H23*2.5)</f>
        <v>339300</v>
      </c>
      <c r="M22" s="452"/>
    </row>
    <row r="23" spans="1:13" ht="18" customHeight="1">
      <c r="A23" s="353"/>
      <c r="B23" s="354" t="s">
        <v>133</v>
      </c>
      <c r="C23" s="364">
        <v>4602753</v>
      </c>
      <c r="D23" s="355">
        <v>453.4</v>
      </c>
      <c r="E23" s="377">
        <v>348</v>
      </c>
      <c r="F23" s="364">
        <f>C23/E23</f>
        <v>13226.301724137931</v>
      </c>
      <c r="G23" s="435" t="s">
        <v>185</v>
      </c>
      <c r="H23" s="446">
        <f>(E23*390)</f>
        <v>135720</v>
      </c>
      <c r="I23" s="347"/>
      <c r="J23" s="347"/>
      <c r="K23" s="348"/>
      <c r="L23" s="441"/>
      <c r="M23" s="457"/>
    </row>
    <row r="24" spans="1:13" ht="18" customHeight="1">
      <c r="A24" s="356" t="s">
        <v>77</v>
      </c>
      <c r="B24" s="357"/>
      <c r="C24" s="398"/>
      <c r="D24" s="359"/>
      <c r="E24" s="378"/>
      <c r="F24" s="398"/>
      <c r="G24" s="431"/>
      <c r="H24" s="447"/>
      <c r="I24" s="347">
        <v>138.4</v>
      </c>
      <c r="J24" s="347">
        <v>214.79</v>
      </c>
      <c r="K24" s="348">
        <v>52.86</v>
      </c>
      <c r="L24" s="441">
        <f>SUM(H25*2.5)</f>
        <v>225127.5</v>
      </c>
      <c r="M24" s="452"/>
    </row>
    <row r="25" spans="1:13" ht="18" customHeight="1">
      <c r="A25" s="353"/>
      <c r="B25" s="354" t="s">
        <v>151</v>
      </c>
      <c r="C25" s="364">
        <v>3328840</v>
      </c>
      <c r="D25" s="355">
        <v>205</v>
      </c>
      <c r="E25" s="377">
        <v>230.9</v>
      </c>
      <c r="F25" s="364">
        <f>C25/E25</f>
        <v>14416.803811173668</v>
      </c>
      <c r="G25" s="435" t="s">
        <v>185</v>
      </c>
      <c r="H25" s="446">
        <f>(E25*390)</f>
        <v>90051</v>
      </c>
      <c r="I25" s="347"/>
      <c r="J25" s="347"/>
      <c r="K25" s="348"/>
      <c r="L25" s="441"/>
      <c r="M25" s="457"/>
    </row>
    <row r="26" spans="1:13" ht="18" customHeight="1">
      <c r="A26" s="356" t="s">
        <v>78</v>
      </c>
      <c r="B26" s="357"/>
      <c r="C26" s="398"/>
      <c r="D26" s="359"/>
      <c r="E26" s="378"/>
      <c r="F26" s="398"/>
      <c r="G26" s="431"/>
      <c r="H26" s="447"/>
      <c r="I26" s="347">
        <v>0</v>
      </c>
      <c r="J26" s="347">
        <v>0</v>
      </c>
      <c r="K26" s="348">
        <v>0</v>
      </c>
      <c r="L26" s="441">
        <f>SUM(H27*2.5)</f>
        <v>0</v>
      </c>
      <c r="M26" s="452"/>
    </row>
    <row r="27" spans="1:13" ht="18" customHeight="1">
      <c r="A27" s="345"/>
      <c r="B27" s="346" t="s">
        <v>134</v>
      </c>
      <c r="C27" s="360">
        <v>0</v>
      </c>
      <c r="D27" s="351">
        <v>0</v>
      </c>
      <c r="E27" s="374">
        <v>0</v>
      </c>
      <c r="F27" s="360">
        <v>0</v>
      </c>
      <c r="G27" s="429" t="s">
        <v>185</v>
      </c>
      <c r="H27" s="445">
        <f>(E27*390)</f>
        <v>0</v>
      </c>
      <c r="I27" s="347">
        <v>0</v>
      </c>
      <c r="J27" s="347">
        <v>0</v>
      </c>
      <c r="K27" s="348">
        <v>0</v>
      </c>
      <c r="L27" s="441">
        <f>SUM(H28*2.5)</f>
        <v>0</v>
      </c>
      <c r="M27" s="452"/>
    </row>
    <row r="28" spans="1:13" ht="18" customHeight="1" thickBot="1">
      <c r="A28" s="345"/>
      <c r="B28" s="346" t="s">
        <v>178</v>
      </c>
      <c r="C28" s="361">
        <v>0</v>
      </c>
      <c r="D28" s="365">
        <v>0</v>
      </c>
      <c r="E28" s="379">
        <v>0</v>
      </c>
      <c r="F28" s="361">
        <v>0</v>
      </c>
      <c r="G28" s="433" t="s">
        <v>185</v>
      </c>
      <c r="H28" s="448">
        <f>(E28*390)</f>
        <v>0</v>
      </c>
      <c r="I28" s="347"/>
      <c r="J28" s="347"/>
      <c r="K28" s="348"/>
      <c r="L28" s="441">
        <f>SUM(L26:L27)</f>
        <v>0</v>
      </c>
      <c r="M28" s="455"/>
    </row>
    <row r="29" spans="1:13" ht="18" customHeight="1" thickTop="1">
      <c r="A29" s="353"/>
      <c r="B29" s="362" t="s">
        <v>168</v>
      </c>
      <c r="C29" s="388">
        <v>0</v>
      </c>
      <c r="D29" s="363">
        <v>0</v>
      </c>
      <c r="E29" s="380">
        <f>SUM(E27:E28)</f>
        <v>0</v>
      </c>
      <c r="F29" s="400">
        <v>0</v>
      </c>
      <c r="G29" s="432" t="s">
        <v>185</v>
      </c>
      <c r="H29" s="449">
        <f>SUM(H27:H28)</f>
        <v>0</v>
      </c>
      <c r="I29" s="347">
        <f>SUM(I30:I34)</f>
        <v>1521</v>
      </c>
      <c r="J29" s="347"/>
      <c r="K29" s="348"/>
      <c r="L29" s="441"/>
      <c r="M29" s="456"/>
    </row>
    <row r="30" spans="1:13" ht="18" customHeight="1">
      <c r="A30" s="356" t="s">
        <v>153</v>
      </c>
      <c r="B30" s="357"/>
      <c r="C30" s="398"/>
      <c r="D30" s="359"/>
      <c r="E30" s="378"/>
      <c r="F30" s="398"/>
      <c r="G30" s="431"/>
      <c r="H30" s="447"/>
      <c r="I30" s="347">
        <v>489</v>
      </c>
      <c r="J30" s="347">
        <v>342</v>
      </c>
      <c r="K30" s="348">
        <v>125</v>
      </c>
      <c r="L30" s="441">
        <f>SUM(H31*2.5)</f>
        <v>197925</v>
      </c>
      <c r="M30" s="452"/>
    </row>
    <row r="31" spans="1:13" ht="18" customHeight="1">
      <c r="A31" s="345"/>
      <c r="B31" s="346" t="s">
        <v>136</v>
      </c>
      <c r="C31" s="360">
        <v>4310335</v>
      </c>
      <c r="D31" s="351">
        <v>209</v>
      </c>
      <c r="E31" s="374">
        <v>203</v>
      </c>
      <c r="F31" s="360">
        <f t="shared" ref="F31:F37" si="0">C31/E31</f>
        <v>21233.177339901478</v>
      </c>
      <c r="G31" s="429" t="s">
        <v>185</v>
      </c>
      <c r="H31" s="445">
        <f>(E31*390)</f>
        <v>79170</v>
      </c>
      <c r="I31" s="347">
        <v>305</v>
      </c>
      <c r="J31" s="347">
        <v>238</v>
      </c>
      <c r="K31" s="348">
        <v>253</v>
      </c>
      <c r="L31" s="441">
        <f>SUM(H32*2.5)</f>
        <v>559650</v>
      </c>
      <c r="M31" s="452"/>
    </row>
    <row r="32" spans="1:13" ht="18" customHeight="1">
      <c r="A32" s="345"/>
      <c r="B32" s="346" t="s">
        <v>143</v>
      </c>
      <c r="C32" s="360">
        <v>7622767</v>
      </c>
      <c r="D32" s="351">
        <v>268</v>
      </c>
      <c r="E32" s="374">
        <v>574</v>
      </c>
      <c r="F32" s="360">
        <f t="shared" si="0"/>
        <v>13280.0818815331</v>
      </c>
      <c r="G32" s="429" t="s">
        <v>185</v>
      </c>
      <c r="H32" s="445">
        <f>(E32*390)</f>
        <v>223860</v>
      </c>
      <c r="I32" s="347"/>
      <c r="J32" s="347"/>
      <c r="K32" s="348"/>
      <c r="L32" s="441">
        <f>SUM(H33*2.5)</f>
        <v>615225</v>
      </c>
      <c r="M32" s="452"/>
    </row>
    <row r="33" spans="1:13" ht="18" customHeight="1">
      <c r="A33" s="345"/>
      <c r="B33" s="346" t="s">
        <v>137</v>
      </c>
      <c r="C33" s="360">
        <v>6630811</v>
      </c>
      <c r="D33" s="351">
        <v>674</v>
      </c>
      <c r="E33" s="374">
        <v>631</v>
      </c>
      <c r="F33" s="360">
        <f t="shared" si="0"/>
        <v>10508.416798732171</v>
      </c>
      <c r="G33" s="429" t="s">
        <v>185</v>
      </c>
      <c r="H33" s="445">
        <f>(E33*390)</f>
        <v>246090</v>
      </c>
      <c r="I33" s="347">
        <v>507</v>
      </c>
      <c r="J33" s="347">
        <v>691</v>
      </c>
      <c r="K33" s="348">
        <v>528</v>
      </c>
      <c r="L33" s="441">
        <f>SUM(H34*2.5)</f>
        <v>200031</v>
      </c>
      <c r="M33" s="452"/>
    </row>
    <row r="34" spans="1:13" ht="18" customHeight="1">
      <c r="A34" s="345"/>
      <c r="B34" s="346" t="s">
        <v>155</v>
      </c>
      <c r="C34" s="360">
        <v>3169665</v>
      </c>
      <c r="D34" s="351">
        <v>162.74</v>
      </c>
      <c r="E34" s="374">
        <v>205.16</v>
      </c>
      <c r="F34" s="360">
        <f t="shared" si="0"/>
        <v>15449.72216806395</v>
      </c>
      <c r="G34" s="429" t="s">
        <v>185</v>
      </c>
      <c r="H34" s="445">
        <f>(E34*390)</f>
        <v>80012.399999999994</v>
      </c>
      <c r="I34" s="347">
        <v>220</v>
      </c>
      <c r="J34" s="347">
        <v>552</v>
      </c>
      <c r="K34" s="348">
        <v>858</v>
      </c>
      <c r="L34" s="441">
        <f>SUM(H35*2.5)</f>
        <v>123883.5</v>
      </c>
      <c r="M34" s="452"/>
    </row>
    <row r="35" spans="1:13" ht="18" customHeight="1">
      <c r="A35" s="345"/>
      <c r="B35" s="346" t="s">
        <v>138</v>
      </c>
      <c r="C35" s="360">
        <v>2599324</v>
      </c>
      <c r="D35" s="351">
        <v>41.97</v>
      </c>
      <c r="E35" s="374">
        <v>127.06</v>
      </c>
      <c r="F35" s="360">
        <f t="shared" si="0"/>
        <v>20457.453171729892</v>
      </c>
      <c r="G35" s="429" t="s">
        <v>185</v>
      </c>
      <c r="H35" s="445">
        <f>(E35*390)</f>
        <v>49553.4</v>
      </c>
      <c r="I35" s="347"/>
      <c r="J35" s="347"/>
      <c r="K35" s="348"/>
      <c r="L35" s="441">
        <f>SUM(L30:L34)</f>
        <v>1696714.5</v>
      </c>
      <c r="M35" s="452"/>
    </row>
    <row r="36" spans="1:13" ht="18" customHeight="1" thickBot="1">
      <c r="A36" s="345"/>
      <c r="B36" s="346" t="s">
        <v>183</v>
      </c>
      <c r="C36" s="360">
        <v>236</v>
      </c>
      <c r="D36" s="351">
        <v>12</v>
      </c>
      <c r="E36" s="379">
        <v>0.06</v>
      </c>
      <c r="F36" s="415">
        <f t="shared" si="0"/>
        <v>3933.3333333333335</v>
      </c>
      <c r="G36" s="433" t="s">
        <v>185</v>
      </c>
      <c r="H36" s="448">
        <f>E36*390</f>
        <v>23.4</v>
      </c>
      <c r="I36" s="347"/>
      <c r="J36" s="347"/>
      <c r="K36" s="348"/>
      <c r="L36" s="441"/>
      <c r="M36" s="455"/>
    </row>
    <row r="37" spans="1:13" ht="18" customHeight="1" thickTop="1">
      <c r="A37" s="353"/>
      <c r="B37" s="362" t="s">
        <v>169</v>
      </c>
      <c r="C37" s="385">
        <f>SUM(C31:C36)</f>
        <v>24333138</v>
      </c>
      <c r="D37" s="371">
        <f>SUM(D31:D36)</f>
        <v>1367.71</v>
      </c>
      <c r="E37" s="384">
        <f>SUM(E31:E36)</f>
        <v>1740.28</v>
      </c>
      <c r="F37" s="400">
        <f t="shared" si="0"/>
        <v>13982.31204174041</v>
      </c>
      <c r="G37" s="432" t="s">
        <v>185</v>
      </c>
      <c r="H37" s="449">
        <f>SUM(H31:H36)</f>
        <v>678709.20000000007</v>
      </c>
      <c r="I37" s="347"/>
      <c r="J37" s="347"/>
      <c r="K37" s="348"/>
      <c r="L37" s="441"/>
      <c r="M37" s="456"/>
    </row>
    <row r="38" spans="1:13" ht="18" customHeight="1">
      <c r="A38" s="356" t="s">
        <v>86</v>
      </c>
      <c r="B38" s="357"/>
      <c r="C38" s="360"/>
      <c r="D38" s="351"/>
      <c r="E38" s="378"/>
      <c r="F38" s="398"/>
      <c r="G38" s="431"/>
      <c r="H38" s="447"/>
      <c r="I38" s="347">
        <v>37.1</v>
      </c>
      <c r="J38" s="347">
        <v>84.7</v>
      </c>
      <c r="K38" s="348">
        <v>134.4</v>
      </c>
      <c r="L38" s="441">
        <f>SUM(H39*2.5)</f>
        <v>135037.5</v>
      </c>
      <c r="M38" s="452"/>
    </row>
    <row r="39" spans="1:13" ht="18" customHeight="1" thickBot="1">
      <c r="A39" s="366"/>
      <c r="B39" s="367" t="s">
        <v>139</v>
      </c>
      <c r="C39" s="361">
        <v>2178792</v>
      </c>
      <c r="D39" s="365">
        <v>179.2</v>
      </c>
      <c r="E39" s="379">
        <v>138.5</v>
      </c>
      <c r="F39" s="361">
        <f>C39/E39</f>
        <v>15731.350180505415</v>
      </c>
      <c r="G39" s="433" t="s">
        <v>185</v>
      </c>
      <c r="H39" s="448">
        <f>(E39*390)</f>
        <v>54015</v>
      </c>
      <c r="I39" s="347"/>
      <c r="J39" s="347"/>
      <c r="K39" s="348"/>
      <c r="L39" s="441" t="e">
        <f>SUM(#REF!*2.5)</f>
        <v>#REF!</v>
      </c>
      <c r="M39" s="455"/>
    </row>
    <row r="40" spans="1:13" ht="27.75" customHeight="1" thickTop="1" thickBot="1">
      <c r="A40" s="2082" t="s">
        <v>44</v>
      </c>
      <c r="B40" s="2083"/>
      <c r="C40" s="368">
        <f>SUM(C6,C13,C15,C17,C21,C23,C25,C29,C37,C39)</f>
        <v>47168916</v>
      </c>
      <c r="D40" s="369">
        <f>SUM(D6,D13,D15,D17,D21,D23,D25,D29,D37,D39)</f>
        <v>3275.0699999999997</v>
      </c>
      <c r="E40" s="369">
        <f>SUM(E6,E8,E13,E15,E17,E21,E23,E25,E29,E37,E39)</f>
        <v>3426.33</v>
      </c>
      <c r="F40" s="368">
        <f>C40/E40</f>
        <v>13766.600415021321</v>
      </c>
      <c r="G40" s="416" t="s">
        <v>185</v>
      </c>
      <c r="H40" s="451">
        <f>(E40*390)</f>
        <v>1336268.7</v>
      </c>
      <c r="M40" s="454"/>
    </row>
    <row r="41" spans="1:13" ht="18" customHeight="1">
      <c r="E41" s="390"/>
      <c r="F41" s="401"/>
      <c r="G41" s="417"/>
    </row>
  </sheetData>
  <mergeCells count="9">
    <mergeCell ref="G1:G2"/>
    <mergeCell ref="H1:H2"/>
    <mergeCell ref="A40:B40"/>
    <mergeCell ref="E1:E2"/>
    <mergeCell ref="F1:F2"/>
    <mergeCell ref="A1:A2"/>
    <mergeCell ref="B1:B2"/>
    <mergeCell ref="C1:C2"/>
    <mergeCell ref="D1:D2"/>
  </mergeCells>
  <phoneticPr fontId="0" type="noConversion"/>
  <pageMargins left="0.75" right="0.75" top="1.54" bottom="1" header="0.91" footer="0.5"/>
  <pageSetup scale="68" orientation="portrait" r:id="rId1"/>
  <headerFooter alignWithMargins="0">
    <oddHeader>&amp;C&amp;"Arial,Bold"&amp;14Railroad Commission of Texas
Summary of 2005 Production, Fee Payment, and Mined and Disturbed Acreage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P41"/>
  <sheetViews>
    <sheetView zoomScale="75" workbookViewId="0">
      <pane xSplit="2" ySplit="2" topLeftCell="C3" activePane="bottomRight" state="frozen"/>
      <selection activeCell="Q2" sqref="Q2:Z2"/>
      <selection pane="topRight" activeCell="Q2" sqref="Q2:Z2"/>
      <selection pane="bottomLeft" activeCell="Q2" sqref="Q2:Z2"/>
      <selection pane="bottomRight" activeCell="Q2" sqref="Q2:Z2"/>
    </sheetView>
  </sheetViews>
  <sheetFormatPr defaultColWidth="9.140625" defaultRowHeight="18" customHeight="1"/>
  <cols>
    <col min="1" max="1" width="18.85546875" style="178" customWidth="1"/>
    <col min="2" max="2" width="24.85546875" style="178" bestFit="1" customWidth="1"/>
    <col min="3" max="3" width="16.42578125" style="178" customWidth="1"/>
    <col min="4" max="4" width="16.140625" style="389" customWidth="1"/>
    <col min="5" max="5" width="19.42578125" style="382" customWidth="1"/>
    <col min="6" max="6" width="18" style="178" customWidth="1"/>
    <col min="7" max="7" width="16.28515625" style="178" customWidth="1"/>
    <col min="8" max="8" width="13.85546875" style="402" customWidth="1"/>
    <col min="9" max="9" width="4.140625" style="418" customWidth="1"/>
    <col min="10" max="10" width="12.28515625" style="178" customWidth="1"/>
    <col min="11" max="12" width="8.5703125" style="178" hidden="1" customWidth="1"/>
    <col min="13" max="13" width="8.5703125" style="337" hidden="1" customWidth="1"/>
    <col min="14" max="14" width="14.5703125" style="337" hidden="1" customWidth="1"/>
    <col min="15" max="15" width="9.140625" style="337"/>
    <col min="16" max="16" width="9.140625" style="395"/>
    <col min="17" max="16384" width="9.140625" style="337"/>
  </cols>
  <sheetData>
    <row r="1" spans="1:16" ht="18" customHeight="1" thickTop="1">
      <c r="A1" s="2092" t="s">
        <v>6</v>
      </c>
      <c r="B1" s="2094" t="s">
        <v>162</v>
      </c>
      <c r="C1" s="2101" t="s">
        <v>159</v>
      </c>
      <c r="D1" s="2084" t="s">
        <v>174</v>
      </c>
      <c r="E1" s="2080" t="s">
        <v>181</v>
      </c>
      <c r="F1" s="2099" t="s">
        <v>182</v>
      </c>
      <c r="G1" s="2099" t="s">
        <v>173</v>
      </c>
      <c r="H1" s="2086" t="s">
        <v>175</v>
      </c>
      <c r="I1" s="2088" t="s">
        <v>184</v>
      </c>
      <c r="J1" s="2097" t="s">
        <v>164</v>
      </c>
      <c r="K1" s="333" t="s">
        <v>108</v>
      </c>
      <c r="L1" s="334" t="s">
        <v>108</v>
      </c>
      <c r="M1" s="335" t="s">
        <v>108</v>
      </c>
      <c r="N1" s="336" t="s">
        <v>148</v>
      </c>
      <c r="P1" s="396"/>
    </row>
    <row r="2" spans="1:16" ht="18" customHeight="1" thickBot="1">
      <c r="A2" s="2093"/>
      <c r="B2" s="2095"/>
      <c r="C2" s="2102"/>
      <c r="D2" s="2096"/>
      <c r="E2" s="2081"/>
      <c r="F2" s="2100"/>
      <c r="G2" s="2085"/>
      <c r="H2" s="2087"/>
      <c r="I2" s="2089"/>
      <c r="J2" s="2098"/>
      <c r="K2" s="333">
        <v>1999</v>
      </c>
      <c r="L2" s="334">
        <v>1998</v>
      </c>
      <c r="M2" s="335">
        <v>1998</v>
      </c>
      <c r="N2" s="338" t="s">
        <v>149</v>
      </c>
    </row>
    <row r="3" spans="1:16" ht="18" customHeight="1">
      <c r="A3" s="339" t="s">
        <v>110</v>
      </c>
      <c r="B3" s="340"/>
      <c r="C3" s="341"/>
      <c r="D3" s="392"/>
      <c r="E3" s="373"/>
      <c r="F3" s="341"/>
      <c r="G3" s="341"/>
      <c r="H3" s="397"/>
      <c r="I3" s="428"/>
      <c r="J3" s="403"/>
      <c r="K3" s="342"/>
      <c r="L3" s="342"/>
      <c r="M3" s="343"/>
      <c r="N3" s="344"/>
    </row>
    <row r="4" spans="1:16" ht="18" customHeight="1">
      <c r="A4" s="345"/>
      <c r="B4" s="346" t="s">
        <v>125</v>
      </c>
      <c r="C4" s="360">
        <v>6294003</v>
      </c>
      <c r="D4" s="351">
        <v>307.58</v>
      </c>
      <c r="E4" s="374">
        <v>195.86</v>
      </c>
      <c r="F4" s="374">
        <v>123.26</v>
      </c>
      <c r="G4" s="374">
        <f>SUM(E4:F4)</f>
        <v>319.12</v>
      </c>
      <c r="H4" s="360">
        <f>C4/G4</f>
        <v>19722.99761845074</v>
      </c>
      <c r="I4" s="429" t="s">
        <v>185</v>
      </c>
      <c r="J4" s="419">
        <f>(E4*300)+(F4*390)</f>
        <v>106829.40000000001</v>
      </c>
      <c r="K4" s="347">
        <v>256</v>
      </c>
      <c r="L4" s="347">
        <v>300</v>
      </c>
      <c r="M4" s="348">
        <v>317</v>
      </c>
      <c r="N4" s="349" t="e">
        <f>SUM(#REF!*2.5)</f>
        <v>#REF!</v>
      </c>
    </row>
    <row r="5" spans="1:16" ht="18" customHeight="1" thickBot="1">
      <c r="A5" s="345"/>
      <c r="B5" s="346" t="s">
        <v>165</v>
      </c>
      <c r="C5" s="350">
        <v>0</v>
      </c>
      <c r="D5" s="393">
        <v>889.71</v>
      </c>
      <c r="E5" s="375">
        <v>0</v>
      </c>
      <c r="F5" s="351">
        <v>0</v>
      </c>
      <c r="G5" s="351">
        <f>SUM(E5:F5)</f>
        <v>0</v>
      </c>
      <c r="H5" s="412">
        <v>0</v>
      </c>
      <c r="I5" s="429" t="s">
        <v>185</v>
      </c>
      <c r="J5" s="419">
        <f>(E5*300)+(F5*390)</f>
        <v>0</v>
      </c>
      <c r="K5" s="347"/>
      <c r="L5" s="347"/>
      <c r="M5" s="348"/>
      <c r="N5" s="344"/>
    </row>
    <row r="6" spans="1:16" ht="18" customHeight="1" thickTop="1">
      <c r="A6" s="353"/>
      <c r="B6" s="362" t="s">
        <v>166</v>
      </c>
      <c r="C6" s="372">
        <f>SUM(C4,C5)</f>
        <v>6294003</v>
      </c>
      <c r="D6" s="394">
        <f>SUM(D4,D5)</f>
        <v>1197.29</v>
      </c>
      <c r="E6" s="376">
        <f>SUM(E4,E5)</f>
        <v>195.86</v>
      </c>
      <c r="F6" s="371">
        <f>SUM(F4,F5)</f>
        <v>123.26</v>
      </c>
      <c r="G6" s="371">
        <f>SUM(E6:F6)</f>
        <v>319.12</v>
      </c>
      <c r="H6" s="385"/>
      <c r="I6" s="430" t="s">
        <v>185</v>
      </c>
      <c r="J6" s="420">
        <f>SUM(J4,J5)</f>
        <v>106829.40000000001</v>
      </c>
      <c r="K6" s="347"/>
      <c r="L6" s="347"/>
      <c r="M6" s="348"/>
      <c r="N6" s="344"/>
    </row>
    <row r="7" spans="1:16" ht="18" customHeight="1">
      <c r="A7" s="352" t="s">
        <v>179</v>
      </c>
      <c r="B7" s="346"/>
      <c r="C7" s="350"/>
      <c r="D7" s="393"/>
      <c r="E7" s="375"/>
      <c r="F7" s="351"/>
      <c r="G7" s="351"/>
      <c r="H7" s="360"/>
      <c r="I7" s="429"/>
      <c r="J7" s="421"/>
      <c r="K7" s="347"/>
      <c r="L7" s="347"/>
      <c r="M7" s="348"/>
      <c r="N7" s="349"/>
    </row>
    <row r="8" spans="1:16" ht="18" customHeight="1">
      <c r="A8" s="353"/>
      <c r="B8" s="354" t="s">
        <v>144</v>
      </c>
      <c r="C8" s="386">
        <v>0</v>
      </c>
      <c r="D8" s="355">
        <v>0</v>
      </c>
      <c r="E8" s="377">
        <v>0</v>
      </c>
      <c r="F8" s="355">
        <v>0</v>
      </c>
      <c r="G8" s="355">
        <f>SUM(E8:F8)</f>
        <v>0</v>
      </c>
      <c r="H8" s="414">
        <v>0</v>
      </c>
      <c r="I8" s="435" t="s">
        <v>185</v>
      </c>
      <c r="J8" s="422">
        <f>(E8*300)+(F8*390)</f>
        <v>0</v>
      </c>
      <c r="K8" s="347"/>
      <c r="L8" s="347"/>
      <c r="M8" s="348"/>
      <c r="N8" s="349">
        <f>SUM(J8*2.5)</f>
        <v>0</v>
      </c>
    </row>
    <row r="9" spans="1:16" ht="18" customHeight="1">
      <c r="A9" s="356" t="s">
        <v>147</v>
      </c>
      <c r="B9" s="357"/>
      <c r="C9" s="358"/>
      <c r="D9" s="359"/>
      <c r="E9" s="378"/>
      <c r="F9" s="359"/>
      <c r="G9" s="359"/>
      <c r="H9" s="398"/>
      <c r="I9" s="431"/>
      <c r="J9" s="423"/>
      <c r="K9" s="347"/>
      <c r="L9" s="347"/>
      <c r="M9" s="348"/>
      <c r="N9" s="349"/>
    </row>
    <row r="10" spans="1:16" ht="18" customHeight="1">
      <c r="A10" s="345"/>
      <c r="B10" s="346" t="s">
        <v>127</v>
      </c>
      <c r="C10" s="360">
        <v>0</v>
      </c>
      <c r="D10" s="351">
        <v>0</v>
      </c>
      <c r="E10" s="374">
        <v>0</v>
      </c>
      <c r="F10" s="374">
        <v>0</v>
      </c>
      <c r="G10" s="374">
        <f>SUM(E10:F10)</f>
        <v>0</v>
      </c>
      <c r="H10" s="412">
        <v>0</v>
      </c>
      <c r="I10" s="429" t="s">
        <v>185</v>
      </c>
      <c r="J10" s="421">
        <f>(E10*300)+(F10*390)</f>
        <v>0</v>
      </c>
      <c r="K10" s="347">
        <v>3.1</v>
      </c>
      <c r="L10" s="347">
        <v>44.74</v>
      </c>
      <c r="M10" s="348">
        <v>33</v>
      </c>
      <c r="N10" s="349">
        <f>SUM(J10*2.5)</f>
        <v>0</v>
      </c>
    </row>
    <row r="11" spans="1:16" ht="18" customHeight="1">
      <c r="A11" s="345"/>
      <c r="B11" s="346" t="s">
        <v>128</v>
      </c>
      <c r="C11" s="360">
        <v>55625</v>
      </c>
      <c r="D11" s="351">
        <v>4.09</v>
      </c>
      <c r="E11" s="374">
        <v>7.15</v>
      </c>
      <c r="F11" s="374">
        <v>5.89</v>
      </c>
      <c r="G11" s="374">
        <f>SUM(E11:F11)</f>
        <v>13.04</v>
      </c>
      <c r="H11" s="360">
        <f>C11/G11</f>
        <v>4265.7208588957055</v>
      </c>
      <c r="I11" s="429" t="s">
        <v>185</v>
      </c>
      <c r="J11" s="421">
        <f>(E11*300)+(F11*390)</f>
        <v>4442.1000000000004</v>
      </c>
      <c r="K11" s="347">
        <v>0</v>
      </c>
      <c r="L11" s="347">
        <v>0</v>
      </c>
      <c r="M11" s="348">
        <v>0</v>
      </c>
      <c r="N11" s="349">
        <f>SUM(J11*2.5)</f>
        <v>11105.25</v>
      </c>
    </row>
    <row r="12" spans="1:16" ht="18" customHeight="1" thickBot="1">
      <c r="A12" s="345"/>
      <c r="B12" s="346" t="s">
        <v>177</v>
      </c>
      <c r="C12" s="361">
        <v>0</v>
      </c>
      <c r="D12" s="365">
        <v>0</v>
      </c>
      <c r="E12" s="379">
        <v>0</v>
      </c>
      <c r="F12" s="383">
        <v>0</v>
      </c>
      <c r="G12" s="383">
        <f>SUM(E12:F12)</f>
        <v>0</v>
      </c>
      <c r="H12" s="413">
        <v>0</v>
      </c>
      <c r="I12" s="436" t="s">
        <v>185</v>
      </c>
      <c r="J12" s="424">
        <f>(E12*300)+(F12*390)</f>
        <v>0</v>
      </c>
      <c r="K12" s="347">
        <v>15.1</v>
      </c>
      <c r="L12" s="347">
        <v>12.32</v>
      </c>
      <c r="M12" s="348">
        <v>28</v>
      </c>
      <c r="N12" s="349">
        <f>SUM(J12*2.5)</f>
        <v>0</v>
      </c>
    </row>
    <row r="13" spans="1:16" ht="18" customHeight="1" thickTop="1">
      <c r="A13" s="353"/>
      <c r="B13" s="362" t="s">
        <v>167</v>
      </c>
      <c r="C13" s="388">
        <f>SUM(C10:C12)</f>
        <v>55625</v>
      </c>
      <c r="D13" s="363">
        <f>SUM(D10:D12)</f>
        <v>4.09</v>
      </c>
      <c r="E13" s="380">
        <f>SUM(E10:E12)</f>
        <v>7.15</v>
      </c>
      <c r="F13" s="380">
        <f>SUM(F10:F12)</f>
        <v>5.89</v>
      </c>
      <c r="G13" s="380">
        <f>SUM(E13:F13)</f>
        <v>13.04</v>
      </c>
      <c r="H13" s="400"/>
      <c r="I13" s="432" t="s">
        <v>185</v>
      </c>
      <c r="J13" s="425">
        <f>SUM(J10:J12)</f>
        <v>4442.1000000000004</v>
      </c>
      <c r="K13" s="347"/>
      <c r="L13" s="347"/>
      <c r="M13" s="348"/>
      <c r="N13" s="349">
        <f>SUM(N10:N12)</f>
        <v>11105.25</v>
      </c>
    </row>
    <row r="14" spans="1:16" ht="18" customHeight="1">
      <c r="A14" s="356" t="s">
        <v>116</v>
      </c>
      <c r="B14" s="357"/>
      <c r="C14" s="358"/>
      <c r="D14" s="359"/>
      <c r="E14" s="378"/>
      <c r="F14" s="359"/>
      <c r="G14" s="359"/>
      <c r="H14" s="398"/>
      <c r="I14" s="431"/>
      <c r="J14" s="423"/>
      <c r="K14" s="347"/>
      <c r="L14" s="347"/>
      <c r="M14" s="348"/>
      <c r="N14" s="349"/>
    </row>
    <row r="15" spans="1:16" ht="18" customHeight="1">
      <c r="A15" s="353"/>
      <c r="B15" s="354" t="s">
        <v>130</v>
      </c>
      <c r="C15" s="386">
        <v>0</v>
      </c>
      <c r="D15" s="355">
        <v>0</v>
      </c>
      <c r="E15" s="377">
        <v>0</v>
      </c>
      <c r="F15" s="355">
        <v>0</v>
      </c>
      <c r="G15" s="355">
        <f>SUM(E15:F15)</f>
        <v>0</v>
      </c>
      <c r="H15" s="414">
        <v>0</v>
      </c>
      <c r="I15" s="435" t="s">
        <v>185</v>
      </c>
      <c r="J15" s="422">
        <f>(E15*300)+(F15*390)</f>
        <v>0</v>
      </c>
      <c r="K15" s="347">
        <v>0</v>
      </c>
      <c r="L15" s="347">
        <v>0</v>
      </c>
      <c r="M15" s="348">
        <v>0</v>
      </c>
      <c r="N15" s="349">
        <f>SUM(J15*2.5)</f>
        <v>0</v>
      </c>
    </row>
    <row r="16" spans="1:16" ht="18" customHeight="1">
      <c r="A16" s="356" t="s">
        <v>72</v>
      </c>
      <c r="B16" s="357"/>
      <c r="C16" s="358"/>
      <c r="D16" s="359"/>
      <c r="E16" s="378"/>
      <c r="F16" s="359"/>
      <c r="G16" s="359"/>
      <c r="H16" s="398"/>
      <c r="I16" s="431"/>
      <c r="J16" s="423"/>
      <c r="K16" s="347"/>
      <c r="L16" s="347"/>
      <c r="M16" s="348"/>
      <c r="N16" s="349"/>
    </row>
    <row r="17" spans="1:14" ht="18" customHeight="1">
      <c r="A17" s="353"/>
      <c r="B17" s="354" t="s">
        <v>131</v>
      </c>
      <c r="C17" s="386">
        <v>0</v>
      </c>
      <c r="D17" s="355">
        <v>0</v>
      </c>
      <c r="E17" s="377">
        <v>0</v>
      </c>
      <c r="F17" s="355">
        <v>0</v>
      </c>
      <c r="G17" s="355">
        <f>SUM(E17:F17)</f>
        <v>0</v>
      </c>
      <c r="H17" s="414">
        <v>0</v>
      </c>
      <c r="I17" s="435" t="s">
        <v>185</v>
      </c>
      <c r="J17" s="422">
        <f>(E17*300)+(F17*390)</f>
        <v>0</v>
      </c>
      <c r="K17" s="347">
        <v>13.8</v>
      </c>
      <c r="L17" s="347">
        <v>10.7</v>
      </c>
      <c r="M17" s="348">
        <v>27.2</v>
      </c>
      <c r="N17" s="349">
        <f>SUM(J17*2.5)</f>
        <v>0</v>
      </c>
    </row>
    <row r="18" spans="1:14" ht="18" customHeight="1">
      <c r="A18" s="356" t="s">
        <v>180</v>
      </c>
      <c r="B18" s="357"/>
      <c r="C18" s="358"/>
      <c r="D18" s="359"/>
      <c r="E18" s="378"/>
      <c r="F18" s="359"/>
      <c r="G18" s="359"/>
      <c r="H18" s="398"/>
      <c r="I18" s="431"/>
      <c r="J18" s="423"/>
      <c r="K18" s="347"/>
      <c r="L18" s="347"/>
      <c r="M18" s="348"/>
      <c r="N18" s="349"/>
    </row>
    <row r="19" spans="1:14" ht="18" customHeight="1">
      <c r="A19" s="345"/>
      <c r="B19" s="346" t="s">
        <v>132</v>
      </c>
      <c r="C19" s="360">
        <v>5736515</v>
      </c>
      <c r="D19" s="351">
        <v>243</v>
      </c>
      <c r="E19" s="374">
        <v>218.5</v>
      </c>
      <c r="F19" s="374">
        <v>148</v>
      </c>
      <c r="G19" s="374">
        <f>SUM(E19:F19)</f>
        <v>366.5</v>
      </c>
      <c r="H19" s="360">
        <f>C19/G19</f>
        <v>15652.155525238744</v>
      </c>
      <c r="I19" s="429" t="s">
        <v>185</v>
      </c>
      <c r="J19" s="421">
        <f>(E19*300)+(F19*390)</f>
        <v>123270</v>
      </c>
      <c r="K19" s="347">
        <v>330</v>
      </c>
      <c r="L19" s="347">
        <v>270</v>
      </c>
      <c r="M19" s="348">
        <v>404</v>
      </c>
      <c r="N19" s="349">
        <f>SUM(J19*2.5)</f>
        <v>308175</v>
      </c>
    </row>
    <row r="20" spans="1:14" ht="18" customHeight="1" thickBot="1">
      <c r="A20" s="345"/>
      <c r="B20" s="346" t="s">
        <v>157</v>
      </c>
      <c r="C20" s="361">
        <v>720110</v>
      </c>
      <c r="D20" s="365">
        <v>273.8</v>
      </c>
      <c r="E20" s="379">
        <v>52.2</v>
      </c>
      <c r="F20" s="379">
        <v>32.799999999999997</v>
      </c>
      <c r="G20" s="379">
        <f>SUM(E20:F20)</f>
        <v>85</v>
      </c>
      <c r="H20" s="361">
        <f>C20/G20</f>
        <v>8471.8823529411766</v>
      </c>
      <c r="I20" s="433" t="s">
        <v>185</v>
      </c>
      <c r="J20" s="424">
        <f>(E20*300)+(F20*390)</f>
        <v>28452</v>
      </c>
      <c r="K20" s="347"/>
      <c r="L20" s="347"/>
      <c r="M20" s="348"/>
      <c r="N20" s="349"/>
    </row>
    <row r="21" spans="1:14" ht="18" customHeight="1" thickTop="1">
      <c r="A21" s="353"/>
      <c r="B21" s="362" t="s">
        <v>188</v>
      </c>
      <c r="C21" s="388">
        <f>SUM(C19:C20)</f>
        <v>6456625</v>
      </c>
      <c r="D21" s="363">
        <f>SUM(D19:D20)</f>
        <v>516.79999999999995</v>
      </c>
      <c r="E21" s="381">
        <f>SUM(E19:E20)</f>
        <v>270.7</v>
      </c>
      <c r="F21" s="363">
        <f>SUM(F19:F20)</f>
        <v>180.8</v>
      </c>
      <c r="G21" s="363">
        <f>SUM(E21:F21)</f>
        <v>451.5</v>
      </c>
      <c r="H21" s="388">
        <f>C21/G21</f>
        <v>14300.387596899225</v>
      </c>
      <c r="I21" s="434" t="s">
        <v>185</v>
      </c>
      <c r="J21" s="426">
        <f>SUM(J19:J20)</f>
        <v>151722</v>
      </c>
      <c r="K21" s="347"/>
      <c r="L21" s="347"/>
      <c r="M21" s="348"/>
      <c r="N21" s="349"/>
    </row>
    <row r="22" spans="1:14" ht="18" customHeight="1">
      <c r="A22" s="356" t="s">
        <v>75</v>
      </c>
      <c r="B22" s="357"/>
      <c r="C22" s="358"/>
      <c r="D22" s="359"/>
      <c r="E22" s="378"/>
      <c r="F22" s="359"/>
      <c r="G22" s="359"/>
      <c r="H22" s="398"/>
      <c r="I22" s="431"/>
      <c r="J22" s="423"/>
      <c r="K22" s="347">
        <v>441.8</v>
      </c>
      <c r="L22" s="347">
        <v>974.4</v>
      </c>
      <c r="M22" s="348">
        <v>356</v>
      </c>
      <c r="N22" s="349">
        <f>SUM(J23*2.5)</f>
        <v>312667.5</v>
      </c>
    </row>
    <row r="23" spans="1:14" ht="18" customHeight="1">
      <c r="A23" s="353"/>
      <c r="B23" s="354" t="s">
        <v>133</v>
      </c>
      <c r="C23" s="364">
        <v>4262717</v>
      </c>
      <c r="D23" s="355">
        <v>418.2</v>
      </c>
      <c r="E23" s="377">
        <v>243.6</v>
      </c>
      <c r="F23" s="377">
        <v>133.30000000000001</v>
      </c>
      <c r="G23" s="377">
        <f>SUM(E23:F23)</f>
        <v>376.9</v>
      </c>
      <c r="H23" s="364">
        <f>C23/G23</f>
        <v>11309.941629079332</v>
      </c>
      <c r="I23" s="435" t="s">
        <v>185</v>
      </c>
      <c r="J23" s="422">
        <f>(E23*300)+(F23*390)</f>
        <v>125067</v>
      </c>
      <c r="K23" s="347"/>
      <c r="L23" s="347"/>
      <c r="M23" s="348"/>
      <c r="N23" s="349"/>
    </row>
    <row r="24" spans="1:14" ht="18" customHeight="1">
      <c r="A24" s="356" t="s">
        <v>77</v>
      </c>
      <c r="B24" s="357"/>
      <c r="C24" s="358"/>
      <c r="D24" s="359"/>
      <c r="E24" s="378"/>
      <c r="F24" s="359"/>
      <c r="G24" s="359"/>
      <c r="H24" s="398"/>
      <c r="I24" s="431"/>
      <c r="J24" s="423"/>
      <c r="K24" s="347">
        <v>138.4</v>
      </c>
      <c r="L24" s="347">
        <v>214.79</v>
      </c>
      <c r="M24" s="348">
        <v>52.86</v>
      </c>
      <c r="N24" s="349">
        <f>SUM(J25*2.5)</f>
        <v>197081.25</v>
      </c>
    </row>
    <row r="25" spans="1:14" ht="18" customHeight="1">
      <c r="A25" s="353"/>
      <c r="B25" s="354" t="s">
        <v>151</v>
      </c>
      <c r="C25" s="364">
        <v>3089624</v>
      </c>
      <c r="D25" s="355">
        <v>326.94</v>
      </c>
      <c r="E25" s="377">
        <v>145.58000000000001</v>
      </c>
      <c r="F25" s="377">
        <v>90.15</v>
      </c>
      <c r="G25" s="377">
        <f>SUM(E25:F25)</f>
        <v>235.73000000000002</v>
      </c>
      <c r="H25" s="364">
        <f>C25/G25</f>
        <v>13106.621982776905</v>
      </c>
      <c r="I25" s="435" t="s">
        <v>185</v>
      </c>
      <c r="J25" s="422">
        <f>(E25*300)+(F25*390)</f>
        <v>78832.5</v>
      </c>
      <c r="K25" s="347"/>
      <c r="L25" s="347"/>
      <c r="M25" s="348"/>
      <c r="N25" s="349"/>
    </row>
    <row r="26" spans="1:14" ht="18" customHeight="1">
      <c r="A26" s="356" t="s">
        <v>78</v>
      </c>
      <c r="B26" s="357"/>
      <c r="C26" s="358"/>
      <c r="D26" s="359"/>
      <c r="E26" s="378"/>
      <c r="F26" s="359"/>
      <c r="G26" s="359"/>
      <c r="H26" s="398"/>
      <c r="I26" s="431"/>
      <c r="J26" s="423"/>
      <c r="K26" s="347">
        <v>0</v>
      </c>
      <c r="L26" s="347">
        <v>0</v>
      </c>
      <c r="M26" s="348">
        <v>0</v>
      </c>
      <c r="N26" s="349">
        <f>SUM(J27*2.5)</f>
        <v>0</v>
      </c>
    </row>
    <row r="27" spans="1:14" ht="18" customHeight="1">
      <c r="A27" s="345"/>
      <c r="B27" s="346" t="s">
        <v>134</v>
      </c>
      <c r="C27" s="360">
        <v>0</v>
      </c>
      <c r="D27" s="351">
        <v>0</v>
      </c>
      <c r="E27" s="374">
        <v>0</v>
      </c>
      <c r="F27" s="351">
        <v>0</v>
      </c>
      <c r="G27" s="351">
        <v>0</v>
      </c>
      <c r="H27" s="360">
        <v>0</v>
      </c>
      <c r="I27" s="429" t="s">
        <v>185</v>
      </c>
      <c r="J27" s="421">
        <f>(E27*300)+(F27*390)</f>
        <v>0</v>
      </c>
      <c r="K27" s="347">
        <v>0</v>
      </c>
      <c r="L27" s="347">
        <v>0</v>
      </c>
      <c r="M27" s="348">
        <v>0</v>
      </c>
      <c r="N27" s="349">
        <f>SUM(J28*2.5)</f>
        <v>0</v>
      </c>
    </row>
    <row r="28" spans="1:14" ht="18" customHeight="1" thickBot="1">
      <c r="A28" s="345"/>
      <c r="B28" s="346" t="s">
        <v>178</v>
      </c>
      <c r="C28" s="361">
        <v>0</v>
      </c>
      <c r="D28" s="365">
        <v>0</v>
      </c>
      <c r="E28" s="379">
        <v>0</v>
      </c>
      <c r="F28" s="365">
        <v>0</v>
      </c>
      <c r="G28" s="365">
        <v>0</v>
      </c>
      <c r="H28" s="361">
        <v>0</v>
      </c>
      <c r="I28" s="433" t="s">
        <v>185</v>
      </c>
      <c r="J28" s="424">
        <f>(E28*300)+(F28*390)</f>
        <v>0</v>
      </c>
      <c r="K28" s="347"/>
      <c r="L28" s="347"/>
      <c r="M28" s="348"/>
      <c r="N28" s="349">
        <f>SUM(N26:N27)</f>
        <v>0</v>
      </c>
    </row>
    <row r="29" spans="1:14" ht="18" customHeight="1" thickTop="1">
      <c r="A29" s="353"/>
      <c r="B29" s="362" t="s">
        <v>168</v>
      </c>
      <c r="C29" s="387">
        <v>0</v>
      </c>
      <c r="D29" s="363">
        <v>0</v>
      </c>
      <c r="E29" s="380">
        <f>SUM(E27:E28)</f>
        <v>0</v>
      </c>
      <c r="F29" s="380">
        <f>SUM(F27:F28)</f>
        <v>0</v>
      </c>
      <c r="G29" s="380">
        <f>SUM(E29:F29)</f>
        <v>0</v>
      </c>
      <c r="H29" s="400"/>
      <c r="I29" s="432" t="s">
        <v>185</v>
      </c>
      <c r="J29" s="425">
        <f>SUM(J27:J28)</f>
        <v>0</v>
      </c>
      <c r="K29" s="347">
        <f>SUM(K30:K34)</f>
        <v>1521</v>
      </c>
      <c r="L29" s="347"/>
      <c r="M29" s="348"/>
      <c r="N29" s="349"/>
    </row>
    <row r="30" spans="1:14" ht="18" customHeight="1">
      <c r="A30" s="356" t="s">
        <v>153</v>
      </c>
      <c r="B30" s="357"/>
      <c r="C30" s="358"/>
      <c r="D30" s="359"/>
      <c r="E30" s="378"/>
      <c r="F30" s="359"/>
      <c r="G30" s="359"/>
      <c r="H30" s="398"/>
      <c r="I30" s="431"/>
      <c r="J30" s="423"/>
      <c r="K30" s="347">
        <v>489</v>
      </c>
      <c r="L30" s="347">
        <v>342</v>
      </c>
      <c r="M30" s="348">
        <v>125</v>
      </c>
      <c r="N30" s="349">
        <f>SUM(J31*2.5)</f>
        <v>141450</v>
      </c>
    </row>
    <row r="31" spans="1:14" ht="18" customHeight="1">
      <c r="A31" s="345"/>
      <c r="B31" s="346" t="s">
        <v>136</v>
      </c>
      <c r="C31" s="360">
        <v>4382006</v>
      </c>
      <c r="D31" s="351">
        <v>447</v>
      </c>
      <c r="E31" s="374">
        <v>134</v>
      </c>
      <c r="F31" s="374">
        <v>42</v>
      </c>
      <c r="G31" s="374">
        <f t="shared" ref="G31:G37" si="0">SUM(E31:F31)</f>
        <v>176</v>
      </c>
      <c r="H31" s="360">
        <f t="shared" ref="H31:H37" si="1">C31/G31</f>
        <v>24897.761363636364</v>
      </c>
      <c r="I31" s="429" t="s">
        <v>185</v>
      </c>
      <c r="J31" s="421">
        <f>(E31*300)+(F31*390)</f>
        <v>56580</v>
      </c>
      <c r="K31" s="347">
        <v>305</v>
      </c>
      <c r="L31" s="347">
        <v>238</v>
      </c>
      <c r="M31" s="348">
        <v>253</v>
      </c>
      <c r="N31" s="349">
        <f>SUM(J32*2.5)</f>
        <v>414000</v>
      </c>
    </row>
    <row r="32" spans="1:14" ht="18" customHeight="1">
      <c r="A32" s="345"/>
      <c r="B32" s="346" t="s">
        <v>143</v>
      </c>
      <c r="C32" s="360">
        <v>7008675</v>
      </c>
      <c r="D32" s="351">
        <v>342</v>
      </c>
      <c r="E32" s="374">
        <v>344</v>
      </c>
      <c r="F32" s="374">
        <v>160</v>
      </c>
      <c r="G32" s="374">
        <f t="shared" si="0"/>
        <v>504</v>
      </c>
      <c r="H32" s="360">
        <f t="shared" si="1"/>
        <v>13906.101190476191</v>
      </c>
      <c r="I32" s="429" t="s">
        <v>185</v>
      </c>
      <c r="J32" s="421">
        <f>(E32*300)+(F32*390)</f>
        <v>165600</v>
      </c>
      <c r="K32" s="347"/>
      <c r="L32" s="347"/>
      <c r="M32" s="348"/>
      <c r="N32" s="349">
        <f>SUM(J33*2.5)</f>
        <v>368850</v>
      </c>
    </row>
    <row r="33" spans="1:14" ht="18" customHeight="1">
      <c r="A33" s="345"/>
      <c r="B33" s="346" t="s">
        <v>137</v>
      </c>
      <c r="C33" s="360">
        <v>5558756</v>
      </c>
      <c r="D33" s="351">
        <v>368</v>
      </c>
      <c r="E33" s="374">
        <v>315</v>
      </c>
      <c r="F33" s="374">
        <v>136</v>
      </c>
      <c r="G33" s="374">
        <f t="shared" si="0"/>
        <v>451</v>
      </c>
      <c r="H33" s="360">
        <f t="shared" si="1"/>
        <v>12325.401330376941</v>
      </c>
      <c r="I33" s="429" t="s">
        <v>185</v>
      </c>
      <c r="J33" s="421">
        <f>(E33*300)+(F33*390)</f>
        <v>147540</v>
      </c>
      <c r="K33" s="347">
        <v>507</v>
      </c>
      <c r="L33" s="347">
        <v>691</v>
      </c>
      <c r="M33" s="348">
        <v>528</v>
      </c>
      <c r="N33" s="349">
        <f>SUM(J34*2.5)</f>
        <v>226725</v>
      </c>
    </row>
    <row r="34" spans="1:14" ht="18" customHeight="1">
      <c r="A34" s="345"/>
      <c r="B34" s="346" t="s">
        <v>155</v>
      </c>
      <c r="C34" s="360">
        <v>4010504</v>
      </c>
      <c r="D34" s="351">
        <v>429</v>
      </c>
      <c r="E34" s="374">
        <v>223</v>
      </c>
      <c r="F34" s="374">
        <v>61</v>
      </c>
      <c r="G34" s="374">
        <f t="shared" si="0"/>
        <v>284</v>
      </c>
      <c r="H34" s="360">
        <f t="shared" si="1"/>
        <v>14121.492957746479</v>
      </c>
      <c r="I34" s="429" t="s">
        <v>185</v>
      </c>
      <c r="J34" s="421">
        <f>(E34*300)+(F34*390)</f>
        <v>90690</v>
      </c>
      <c r="K34" s="347">
        <v>220</v>
      </c>
      <c r="L34" s="347">
        <v>552</v>
      </c>
      <c r="M34" s="348">
        <v>858</v>
      </c>
      <c r="N34" s="349">
        <f>SUM(J35*2.5)</f>
        <v>98475</v>
      </c>
    </row>
    <row r="35" spans="1:14" ht="18" customHeight="1">
      <c r="A35" s="345"/>
      <c r="B35" s="346" t="s">
        <v>138</v>
      </c>
      <c r="C35" s="360">
        <v>2616805</v>
      </c>
      <c r="D35" s="351">
        <v>97</v>
      </c>
      <c r="E35" s="374">
        <v>78</v>
      </c>
      <c r="F35" s="374">
        <v>41</v>
      </c>
      <c r="G35" s="374">
        <f t="shared" si="0"/>
        <v>119</v>
      </c>
      <c r="H35" s="360">
        <f t="shared" si="1"/>
        <v>21989.957983193279</v>
      </c>
      <c r="I35" s="429" t="s">
        <v>185</v>
      </c>
      <c r="J35" s="421">
        <f>(E35*300)+(F35*390)</f>
        <v>39390</v>
      </c>
      <c r="K35" s="347"/>
      <c r="L35" s="347"/>
      <c r="M35" s="348"/>
      <c r="N35" s="349">
        <f>SUM(N30:N34)</f>
        <v>1249500</v>
      </c>
    </row>
    <row r="36" spans="1:14" ht="18" customHeight="1" thickBot="1">
      <c r="A36" s="345"/>
      <c r="B36" s="346" t="s">
        <v>183</v>
      </c>
      <c r="C36" s="360">
        <v>0</v>
      </c>
      <c r="D36" s="351">
        <v>0</v>
      </c>
      <c r="E36" s="379">
        <v>0</v>
      </c>
      <c r="F36" s="379">
        <v>0</v>
      </c>
      <c r="G36" s="379">
        <f t="shared" si="0"/>
        <v>0</v>
      </c>
      <c r="H36" s="415">
        <v>0</v>
      </c>
      <c r="I36" s="433" t="s">
        <v>185</v>
      </c>
      <c r="J36" s="424">
        <v>0</v>
      </c>
      <c r="K36" s="347"/>
      <c r="L36" s="347"/>
      <c r="M36" s="348"/>
      <c r="N36" s="349"/>
    </row>
    <row r="37" spans="1:14" ht="18" customHeight="1" thickTop="1">
      <c r="A37" s="353"/>
      <c r="B37" s="362" t="s">
        <v>169</v>
      </c>
      <c r="C37" s="385">
        <f>SUM(C31:C36)</f>
        <v>23576746</v>
      </c>
      <c r="D37" s="371">
        <f>SUM(D31:D36)</f>
        <v>1683</v>
      </c>
      <c r="E37" s="384">
        <f>SUM(E31:E36)</f>
        <v>1094</v>
      </c>
      <c r="F37" s="384">
        <f>SUM(F31:F36)</f>
        <v>440</v>
      </c>
      <c r="G37" s="384">
        <f t="shared" si="0"/>
        <v>1534</v>
      </c>
      <c r="H37" s="400">
        <f t="shared" si="1"/>
        <v>15369.456323337679</v>
      </c>
      <c r="I37" s="432" t="s">
        <v>185</v>
      </c>
      <c r="J37" s="425">
        <f>SUM(J31:J35)</f>
        <v>499800</v>
      </c>
      <c r="K37" s="347"/>
      <c r="L37" s="347"/>
      <c r="M37" s="348"/>
      <c r="N37" s="349"/>
    </row>
    <row r="38" spans="1:14" ht="18" customHeight="1">
      <c r="A38" s="356" t="s">
        <v>86</v>
      </c>
      <c r="B38" s="357"/>
      <c r="C38" s="351"/>
      <c r="D38" s="351"/>
      <c r="E38" s="378"/>
      <c r="F38" s="359"/>
      <c r="G38" s="359"/>
      <c r="H38" s="398"/>
      <c r="I38" s="431"/>
      <c r="J38" s="423"/>
      <c r="K38" s="347">
        <v>37.1</v>
      </c>
      <c r="L38" s="347">
        <v>84.7</v>
      </c>
      <c r="M38" s="348">
        <v>134.4</v>
      </c>
      <c r="N38" s="349">
        <f>SUM(J39*2.5)</f>
        <v>70192.5</v>
      </c>
    </row>
    <row r="39" spans="1:14" ht="18" customHeight="1" thickBot="1">
      <c r="A39" s="366"/>
      <c r="B39" s="367" t="s">
        <v>139</v>
      </c>
      <c r="C39" s="361">
        <v>1944757</v>
      </c>
      <c r="D39" s="365">
        <v>102.5</v>
      </c>
      <c r="E39" s="379">
        <v>52.9</v>
      </c>
      <c r="F39" s="379">
        <v>31.3</v>
      </c>
      <c r="G39" s="379">
        <f>SUM(E39:F39)</f>
        <v>84.2</v>
      </c>
      <c r="H39" s="361">
        <f>C39/G39</f>
        <v>23096.876484560569</v>
      </c>
      <c r="I39" s="433" t="s">
        <v>185</v>
      </c>
      <c r="J39" s="424">
        <f>(E39*300)+(F39*390)</f>
        <v>28077</v>
      </c>
      <c r="K39" s="347"/>
      <c r="L39" s="347"/>
      <c r="M39" s="348"/>
      <c r="N39" s="349" t="e">
        <f>SUM(#REF!*2.5)</f>
        <v>#REF!</v>
      </c>
    </row>
    <row r="40" spans="1:14" ht="27.75" customHeight="1" thickTop="1" thickBot="1">
      <c r="A40" s="2082" t="s">
        <v>44</v>
      </c>
      <c r="B40" s="2083"/>
      <c r="C40" s="368">
        <f>SUM(C6,C13,C15,C17,C21,C23,C25,C29,C37,C39)</f>
        <v>45680097</v>
      </c>
      <c r="D40" s="369">
        <f>SUM(D6,D13,D15,D17,D21,D23,D25,D29,D37,D39)</f>
        <v>4248.82</v>
      </c>
      <c r="E40" s="369">
        <f>SUM(E6,E8,E13,E15,E17,E21,E23,E25,E29,E37,E39)</f>
        <v>2009.7900000000002</v>
      </c>
      <c r="F40" s="369">
        <f>SUM(F6,F8,F13,F15,F17,F21,F23,F25,F29,F37,F39)</f>
        <v>1004.7</v>
      </c>
      <c r="G40" s="369">
        <f>SUM(E40:F40)</f>
        <v>3014.4900000000002</v>
      </c>
      <c r="H40" s="368">
        <f>C40/G40</f>
        <v>15153.50755849248</v>
      </c>
      <c r="I40" s="416" t="s">
        <v>185</v>
      </c>
      <c r="J40" s="427">
        <f>(E40*300)+(F40*390)</f>
        <v>994770</v>
      </c>
    </row>
    <row r="41" spans="1:14" ht="18" customHeight="1">
      <c r="E41" s="390"/>
      <c r="F41" s="391"/>
      <c r="G41" s="391"/>
      <c r="H41" s="401"/>
      <c r="I41" s="417"/>
    </row>
  </sheetData>
  <mergeCells count="11">
    <mergeCell ref="D1:D2"/>
    <mergeCell ref="I1:I2"/>
    <mergeCell ref="J1:J2"/>
    <mergeCell ref="H1:H2"/>
    <mergeCell ref="A40:B40"/>
    <mergeCell ref="E1:E2"/>
    <mergeCell ref="F1:F2"/>
    <mergeCell ref="G1:G2"/>
    <mergeCell ref="A1:A2"/>
    <mergeCell ref="B1:B2"/>
    <mergeCell ref="C1:C2"/>
  </mergeCells>
  <phoneticPr fontId="0" type="noConversion"/>
  <pageMargins left="0.77" right="0.45" top="0.71" bottom="0.41" header="0.27" footer="0.23"/>
  <pageSetup scale="75" orientation="landscape" r:id="rId1"/>
  <headerFooter alignWithMargins="0">
    <oddHeader xml:space="preserve">&amp;C&amp;"Arial,Bold"&amp;14Railroad Commission of Texas
Summary of 2004 Production, Fee Payment, and Mined and Disturbed Acreage </oddHeader>
    <oddFooter xml:space="preserve">&amp;R&amp;D       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A9D9A-2F82-4477-B3B7-CC33F61FA1AA}">
  <dimension ref="A1"/>
  <sheetViews>
    <sheetView workbookViewId="0">
      <selection activeCell="Q2" sqref="Q2:Z2"/>
    </sheetView>
  </sheetViews>
  <sheetFormatPr defaultRowHeight="12.7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O40"/>
  <sheetViews>
    <sheetView zoomScale="75" workbookViewId="0">
      <pane xSplit="2" ySplit="2" topLeftCell="C3" activePane="bottomRight" state="frozen"/>
      <selection activeCell="Q2" sqref="Q2:Z2"/>
      <selection pane="topRight" activeCell="Q2" sqref="Q2:Z2"/>
      <selection pane="bottomLeft" activeCell="Q2" sqref="Q2:Z2"/>
      <selection pane="bottomRight" activeCell="Q2" sqref="Q2:Z2"/>
    </sheetView>
  </sheetViews>
  <sheetFormatPr defaultColWidth="9.140625" defaultRowHeight="18" customHeight="1"/>
  <cols>
    <col min="1" max="1" width="18.85546875" style="178" customWidth="1"/>
    <col min="2" max="2" width="24.85546875" style="178" bestFit="1" customWidth="1"/>
    <col min="3" max="3" width="16.42578125" style="178" customWidth="1"/>
    <col min="4" max="4" width="16.140625" style="389" customWidth="1"/>
    <col min="5" max="5" width="19.42578125" style="382" customWidth="1"/>
    <col min="6" max="6" width="18" style="178" customWidth="1"/>
    <col min="7" max="7" width="16.28515625" style="178" customWidth="1"/>
    <col min="8" max="8" width="13.85546875" style="402" customWidth="1"/>
    <col min="9" max="9" width="15.85546875" style="178" customWidth="1"/>
    <col min="10" max="11" width="8.5703125" style="178" hidden="1" customWidth="1"/>
    <col min="12" max="12" width="8.5703125" style="337" hidden="1" customWidth="1"/>
    <col min="13" max="13" width="14.5703125" style="337" hidden="1" customWidth="1"/>
    <col min="14" max="14" width="9.140625" style="337"/>
    <col min="15" max="15" width="9.140625" style="395"/>
    <col min="16" max="16384" width="9.140625" style="337"/>
  </cols>
  <sheetData>
    <row r="1" spans="1:15" ht="18" customHeight="1" thickTop="1">
      <c r="A1" s="2092" t="s">
        <v>6</v>
      </c>
      <c r="B1" s="2094" t="s">
        <v>162</v>
      </c>
      <c r="C1" s="2101" t="s">
        <v>159</v>
      </c>
      <c r="D1" s="2084" t="s">
        <v>174</v>
      </c>
      <c r="E1" s="2080" t="s">
        <v>171</v>
      </c>
      <c r="F1" s="2099" t="s">
        <v>172</v>
      </c>
      <c r="G1" s="2099" t="s">
        <v>173</v>
      </c>
      <c r="H1" s="2086" t="s">
        <v>175</v>
      </c>
      <c r="I1" s="2103" t="s">
        <v>164</v>
      </c>
      <c r="J1" s="333" t="s">
        <v>108</v>
      </c>
      <c r="K1" s="334" t="s">
        <v>108</v>
      </c>
      <c r="L1" s="335" t="s">
        <v>108</v>
      </c>
      <c r="M1" s="336" t="s">
        <v>148</v>
      </c>
      <c r="O1" s="396"/>
    </row>
    <row r="2" spans="1:15" ht="18" customHeight="1" thickBot="1">
      <c r="A2" s="2093"/>
      <c r="B2" s="2095"/>
      <c r="C2" s="2102"/>
      <c r="D2" s="2096"/>
      <c r="E2" s="2081"/>
      <c r="F2" s="2100"/>
      <c r="G2" s="2085"/>
      <c r="H2" s="2087"/>
      <c r="I2" s="2104"/>
      <c r="J2" s="333">
        <v>1999</v>
      </c>
      <c r="K2" s="334">
        <v>1998</v>
      </c>
      <c r="L2" s="335">
        <v>1998</v>
      </c>
      <c r="M2" s="338" t="s">
        <v>149</v>
      </c>
    </row>
    <row r="3" spans="1:15" ht="18" customHeight="1">
      <c r="A3" s="339" t="s">
        <v>110</v>
      </c>
      <c r="B3" s="340"/>
      <c r="C3" s="341"/>
      <c r="D3" s="392"/>
      <c r="E3" s="373"/>
      <c r="F3" s="341"/>
      <c r="G3" s="341"/>
      <c r="H3" s="397"/>
      <c r="I3" s="403"/>
      <c r="J3" s="342"/>
      <c r="K3" s="342"/>
      <c r="L3" s="343"/>
      <c r="M3" s="344"/>
    </row>
    <row r="4" spans="1:15" ht="18" customHeight="1">
      <c r="A4" s="345"/>
      <c r="B4" s="346" t="s">
        <v>125</v>
      </c>
      <c r="C4" s="360">
        <v>6221745</v>
      </c>
      <c r="D4" s="351">
        <v>848.91</v>
      </c>
      <c r="E4" s="374">
        <v>147.52000000000001</v>
      </c>
      <c r="F4" s="374">
        <v>90.561999999999998</v>
      </c>
      <c r="G4" s="374">
        <f>SUM(E4:F4)</f>
        <v>238.08199999999999</v>
      </c>
      <c r="H4" s="360">
        <f>C4/G4</f>
        <v>26132.781982678236</v>
      </c>
      <c r="I4" s="404">
        <f>(E4*120)+(F4*300)</f>
        <v>44871</v>
      </c>
      <c r="J4" s="347">
        <v>256</v>
      </c>
      <c r="K4" s="347">
        <v>300</v>
      </c>
      <c r="L4" s="348">
        <v>317</v>
      </c>
      <c r="M4" s="349" t="e">
        <f>SUM(#REF!*2.5)</f>
        <v>#REF!</v>
      </c>
    </row>
    <row r="5" spans="1:15" ht="18" customHeight="1" thickBot="1">
      <c r="A5" s="345"/>
      <c r="B5" s="346" t="s">
        <v>165</v>
      </c>
      <c r="C5" s="350">
        <v>0</v>
      </c>
      <c r="D5" s="393">
        <v>489.2</v>
      </c>
      <c r="E5" s="375">
        <v>0</v>
      </c>
      <c r="F5" s="351">
        <v>0</v>
      </c>
      <c r="G5" s="351">
        <f>SUM(E5:F5)</f>
        <v>0</v>
      </c>
      <c r="H5" s="360"/>
      <c r="I5" s="404">
        <f>(E5*120)+(F5*300)</f>
        <v>0</v>
      </c>
      <c r="J5" s="347"/>
      <c r="K5" s="347"/>
      <c r="L5" s="348"/>
      <c r="M5" s="344"/>
    </row>
    <row r="6" spans="1:15" ht="18" customHeight="1" thickTop="1">
      <c r="A6" s="353"/>
      <c r="B6" s="362" t="s">
        <v>166</v>
      </c>
      <c r="C6" s="372">
        <f>SUM(C4,C5)</f>
        <v>6221745</v>
      </c>
      <c r="D6" s="394">
        <f>SUM(D4,D5)</f>
        <v>1338.11</v>
      </c>
      <c r="E6" s="376">
        <f>SUM(E4,E5)</f>
        <v>147.52000000000001</v>
      </c>
      <c r="F6" s="371">
        <f>SUM(F4,F5)</f>
        <v>90.561999999999998</v>
      </c>
      <c r="G6" s="371">
        <f>SUM(E6:F6)</f>
        <v>238.08199999999999</v>
      </c>
      <c r="H6" s="385"/>
      <c r="I6" s="405">
        <f>SUM(I4,I5)</f>
        <v>44871</v>
      </c>
      <c r="J6" s="347"/>
      <c r="K6" s="347"/>
      <c r="L6" s="348"/>
      <c r="M6" s="344"/>
    </row>
    <row r="7" spans="1:15" ht="18" customHeight="1">
      <c r="A7" s="352" t="s">
        <v>179</v>
      </c>
      <c r="B7" s="346"/>
      <c r="C7" s="350"/>
      <c r="D7" s="393"/>
      <c r="E7" s="375"/>
      <c r="F7" s="351"/>
      <c r="G7" s="351"/>
      <c r="H7" s="360"/>
      <c r="I7" s="406"/>
      <c r="J7" s="347"/>
      <c r="K7" s="347"/>
      <c r="L7" s="348"/>
      <c r="M7" s="349"/>
    </row>
    <row r="8" spans="1:15" ht="18" customHeight="1">
      <c r="A8" s="353"/>
      <c r="B8" s="354" t="s">
        <v>144</v>
      </c>
      <c r="C8" s="386">
        <v>0</v>
      </c>
      <c r="D8" s="355"/>
      <c r="E8" s="377">
        <v>0</v>
      </c>
      <c r="F8" s="355">
        <v>0</v>
      </c>
      <c r="G8" s="355">
        <f>SUM(E8:F8)</f>
        <v>0</v>
      </c>
      <c r="H8" s="364"/>
      <c r="I8" s="407">
        <f>(E8*120)+(F8*300)</f>
        <v>0</v>
      </c>
      <c r="J8" s="347"/>
      <c r="K8" s="347"/>
      <c r="L8" s="348"/>
      <c r="M8" s="349">
        <f>SUM(I8*2.5)</f>
        <v>0</v>
      </c>
    </row>
    <row r="9" spans="1:15" ht="18" customHeight="1">
      <c r="A9" s="356" t="s">
        <v>147</v>
      </c>
      <c r="B9" s="357"/>
      <c r="C9" s="358"/>
      <c r="D9" s="359"/>
      <c r="E9" s="378"/>
      <c r="F9" s="359"/>
      <c r="G9" s="359"/>
      <c r="H9" s="398"/>
      <c r="I9" s="408"/>
      <c r="J9" s="347"/>
      <c r="K9" s="347"/>
      <c r="L9" s="348"/>
      <c r="M9" s="349"/>
    </row>
    <row r="10" spans="1:15" ht="18" customHeight="1">
      <c r="A10" s="345"/>
      <c r="B10" s="346" t="s">
        <v>127</v>
      </c>
      <c r="C10" s="360">
        <v>0</v>
      </c>
      <c r="D10" s="351">
        <v>0</v>
      </c>
      <c r="E10" s="374">
        <v>0</v>
      </c>
      <c r="F10" s="374">
        <v>0</v>
      </c>
      <c r="G10" s="374">
        <f>SUM(E10:F10)</f>
        <v>0</v>
      </c>
      <c r="H10" s="360"/>
      <c r="I10" s="406">
        <f>(E10*120)+(F10*300)</f>
        <v>0</v>
      </c>
      <c r="J10" s="347">
        <v>3.1</v>
      </c>
      <c r="K10" s="347">
        <v>44.74</v>
      </c>
      <c r="L10" s="348">
        <v>33</v>
      </c>
      <c r="M10" s="349">
        <f>SUM(I10*2.5)</f>
        <v>0</v>
      </c>
    </row>
    <row r="11" spans="1:15" ht="18" customHeight="1">
      <c r="A11" s="345"/>
      <c r="B11" s="346" t="s">
        <v>128</v>
      </c>
      <c r="C11" s="360">
        <v>27260</v>
      </c>
      <c r="D11" s="351">
        <v>5.66</v>
      </c>
      <c r="E11" s="374">
        <v>3.91</v>
      </c>
      <c r="F11" s="374">
        <v>1.32</v>
      </c>
      <c r="G11" s="374">
        <f>SUM(E11:F11)</f>
        <v>5.23</v>
      </c>
      <c r="H11" s="360">
        <f>C11/G11</f>
        <v>5212.237093690248</v>
      </c>
      <c r="I11" s="406">
        <f>(E11*120)+(F11*300)</f>
        <v>865.2</v>
      </c>
      <c r="J11" s="347">
        <v>0</v>
      </c>
      <c r="K11" s="347">
        <v>0</v>
      </c>
      <c r="L11" s="348">
        <v>0</v>
      </c>
      <c r="M11" s="349">
        <f>SUM(I11*2.5)</f>
        <v>2163</v>
      </c>
    </row>
    <row r="12" spans="1:15" ht="18" customHeight="1" thickBot="1">
      <c r="A12" s="345"/>
      <c r="B12" s="346" t="s">
        <v>177</v>
      </c>
      <c r="C12" s="361">
        <v>0</v>
      </c>
      <c r="D12" s="365">
        <v>0</v>
      </c>
      <c r="E12" s="379">
        <v>0</v>
      </c>
      <c r="F12" s="383">
        <v>0</v>
      </c>
      <c r="G12" s="383">
        <f>SUM(E12:F12)</f>
        <v>0</v>
      </c>
      <c r="H12" s="399"/>
      <c r="I12" s="409">
        <f>(E12*120)+(F12*300)</f>
        <v>0</v>
      </c>
      <c r="J12" s="347">
        <v>15.1</v>
      </c>
      <c r="K12" s="347">
        <v>12.32</v>
      </c>
      <c r="L12" s="348">
        <v>28</v>
      </c>
      <c r="M12" s="349">
        <f>SUM(I12*2.5)</f>
        <v>0</v>
      </c>
    </row>
    <row r="13" spans="1:15" ht="18" customHeight="1" thickTop="1">
      <c r="A13" s="353"/>
      <c r="B13" s="362" t="s">
        <v>167</v>
      </c>
      <c r="C13" s="388">
        <f>SUM(C10:C12)</f>
        <v>27260</v>
      </c>
      <c r="D13" s="363">
        <f>SUM(D10:D12)</f>
        <v>5.66</v>
      </c>
      <c r="E13" s="380">
        <f>SUM(E10:E12)</f>
        <v>3.91</v>
      </c>
      <c r="F13" s="380">
        <f>SUM(F10:F12)</f>
        <v>1.32</v>
      </c>
      <c r="G13" s="380">
        <f>SUM(E13:F13)</f>
        <v>5.23</v>
      </c>
      <c r="H13" s="400"/>
      <c r="I13" s="410">
        <f>SUM(I10:I12)</f>
        <v>865.2</v>
      </c>
      <c r="J13" s="347"/>
      <c r="K13" s="347"/>
      <c r="L13" s="348"/>
      <c r="M13" s="349">
        <f>SUM(M10:M12)</f>
        <v>2163</v>
      </c>
    </row>
    <row r="14" spans="1:15" ht="18" customHeight="1">
      <c r="A14" s="356" t="s">
        <v>116</v>
      </c>
      <c r="B14" s="357"/>
      <c r="C14" s="358"/>
      <c r="D14" s="359"/>
      <c r="E14" s="378"/>
      <c r="F14" s="359"/>
      <c r="G14" s="359"/>
      <c r="H14" s="398"/>
      <c r="I14" s="408"/>
      <c r="J14" s="347"/>
      <c r="K14" s="347"/>
      <c r="L14" s="348"/>
      <c r="M14" s="349"/>
    </row>
    <row r="15" spans="1:15" ht="18" customHeight="1">
      <c r="A15" s="353"/>
      <c r="B15" s="354" t="s">
        <v>130</v>
      </c>
      <c r="C15" s="386">
        <v>0</v>
      </c>
      <c r="D15" s="355">
        <v>0</v>
      </c>
      <c r="E15" s="377">
        <v>0</v>
      </c>
      <c r="F15" s="355">
        <v>0</v>
      </c>
      <c r="G15" s="355">
        <f>SUM(E15:F15)</f>
        <v>0</v>
      </c>
      <c r="H15" s="364"/>
      <c r="I15" s="407">
        <f>(E15*120)+(F15*300)</f>
        <v>0</v>
      </c>
      <c r="J15" s="347">
        <v>0</v>
      </c>
      <c r="K15" s="347">
        <v>0</v>
      </c>
      <c r="L15" s="348">
        <v>0</v>
      </c>
      <c r="M15" s="349">
        <f>SUM(I15*2.5)</f>
        <v>0</v>
      </c>
    </row>
    <row r="16" spans="1:15" ht="18" customHeight="1">
      <c r="A16" s="356" t="s">
        <v>72</v>
      </c>
      <c r="B16" s="357"/>
      <c r="C16" s="358"/>
      <c r="D16" s="359"/>
      <c r="E16" s="378"/>
      <c r="F16" s="359"/>
      <c r="G16" s="359"/>
      <c r="H16" s="398"/>
      <c r="I16" s="408"/>
      <c r="J16" s="347"/>
      <c r="K16" s="347"/>
      <c r="L16" s="348"/>
      <c r="M16" s="349"/>
    </row>
    <row r="17" spans="1:13" ht="18" customHeight="1">
      <c r="A17" s="353"/>
      <c r="B17" s="354" t="s">
        <v>131</v>
      </c>
      <c r="C17" s="386">
        <v>0</v>
      </c>
      <c r="D17" s="355">
        <v>0</v>
      </c>
      <c r="E17" s="377">
        <v>0</v>
      </c>
      <c r="F17" s="355">
        <v>0</v>
      </c>
      <c r="G17" s="355">
        <f>SUM(E17:F17)</f>
        <v>0</v>
      </c>
      <c r="H17" s="364"/>
      <c r="I17" s="407">
        <f>(E17*120)+(F17*300)</f>
        <v>0</v>
      </c>
      <c r="J17" s="347">
        <v>13.8</v>
      </c>
      <c r="K17" s="347">
        <v>10.7</v>
      </c>
      <c r="L17" s="348">
        <v>27.2</v>
      </c>
      <c r="M17" s="349">
        <f>SUM(I17*2.5)</f>
        <v>0</v>
      </c>
    </row>
    <row r="18" spans="1:13" ht="18" customHeight="1">
      <c r="A18" s="356" t="s">
        <v>74</v>
      </c>
      <c r="B18" s="357"/>
      <c r="C18" s="358"/>
      <c r="D18" s="359"/>
      <c r="E18" s="378"/>
      <c r="F18" s="359"/>
      <c r="G18" s="359"/>
      <c r="H18" s="398"/>
      <c r="I18" s="408"/>
      <c r="J18" s="347"/>
      <c r="K18" s="347"/>
      <c r="L18" s="348"/>
      <c r="M18" s="349"/>
    </row>
    <row r="19" spans="1:13" ht="18" customHeight="1">
      <c r="A19" s="345"/>
      <c r="B19" s="346" t="s">
        <v>132</v>
      </c>
      <c r="C19" s="360">
        <v>6471241</v>
      </c>
      <c r="D19" s="351">
        <v>294.3</v>
      </c>
      <c r="E19" s="374">
        <v>229</v>
      </c>
      <c r="F19" s="374">
        <v>122</v>
      </c>
      <c r="G19" s="374">
        <f>SUM(E19:F19)</f>
        <v>351</v>
      </c>
      <c r="H19" s="360">
        <f>C19/G19</f>
        <v>18436.584045584044</v>
      </c>
      <c r="I19" s="406">
        <f>(E19*120)+(F19*300)</f>
        <v>64080</v>
      </c>
      <c r="J19" s="347">
        <v>330</v>
      </c>
      <c r="K19" s="347">
        <v>270</v>
      </c>
      <c r="L19" s="348">
        <v>404</v>
      </c>
      <c r="M19" s="349">
        <f>SUM(I19*2.5)</f>
        <v>160200</v>
      </c>
    </row>
    <row r="20" spans="1:13" ht="18" customHeight="1" thickBot="1">
      <c r="A20" s="345"/>
      <c r="B20" s="346" t="s">
        <v>157</v>
      </c>
      <c r="C20" s="361">
        <v>992226</v>
      </c>
      <c r="D20" s="365">
        <v>105.2</v>
      </c>
      <c r="E20" s="379">
        <v>44.5</v>
      </c>
      <c r="F20" s="379">
        <v>83.7</v>
      </c>
      <c r="G20" s="379">
        <f>SUM(E20:F20)</f>
        <v>128.19999999999999</v>
      </c>
      <c r="H20" s="361">
        <f>C20/G20</f>
        <v>7739.6723868954768</v>
      </c>
      <c r="I20" s="409">
        <f>(E20*120)+(F20*300)</f>
        <v>30450</v>
      </c>
      <c r="J20" s="347"/>
      <c r="K20" s="347"/>
      <c r="L20" s="348"/>
      <c r="M20" s="349"/>
    </row>
    <row r="21" spans="1:13" ht="18" customHeight="1" thickTop="1">
      <c r="A21" s="353"/>
      <c r="B21" s="362" t="s">
        <v>170</v>
      </c>
      <c r="C21" s="388">
        <f>SUM(C19:C20)</f>
        <v>7463467</v>
      </c>
      <c r="D21" s="363">
        <f>SUM(D19:D20)</f>
        <v>399.5</v>
      </c>
      <c r="E21" s="381">
        <f>SUM(E19:E20)</f>
        <v>273.5</v>
      </c>
      <c r="F21" s="363">
        <f>SUM(F19:F20)</f>
        <v>205.7</v>
      </c>
      <c r="G21" s="363">
        <f>SUM(E21:F21)</f>
        <v>479.2</v>
      </c>
      <c r="H21" s="388">
        <f>C21/G21</f>
        <v>15574.847662771286</v>
      </c>
      <c r="I21" s="411">
        <f>SUM(I19:I20)</f>
        <v>94530</v>
      </c>
      <c r="J21" s="347"/>
      <c r="K21" s="347"/>
      <c r="L21" s="348"/>
      <c r="M21" s="349"/>
    </row>
    <row r="22" spans="1:13" ht="18" customHeight="1">
      <c r="A22" s="356" t="s">
        <v>75</v>
      </c>
      <c r="B22" s="357"/>
      <c r="C22" s="358"/>
      <c r="D22" s="359"/>
      <c r="E22" s="378"/>
      <c r="F22" s="359"/>
      <c r="G22" s="359"/>
      <c r="H22" s="398"/>
      <c r="I22" s="408"/>
      <c r="J22" s="347">
        <v>441.8</v>
      </c>
      <c r="K22" s="347">
        <v>974.4</v>
      </c>
      <c r="L22" s="348">
        <v>356</v>
      </c>
      <c r="M22" s="349">
        <f>SUM(I23*2.5)</f>
        <v>154200</v>
      </c>
    </row>
    <row r="23" spans="1:13" ht="18" customHeight="1">
      <c r="A23" s="353"/>
      <c r="B23" s="354" t="s">
        <v>133</v>
      </c>
      <c r="C23" s="364">
        <v>4245666</v>
      </c>
      <c r="D23" s="355">
        <v>354</v>
      </c>
      <c r="E23" s="377">
        <v>244</v>
      </c>
      <c r="F23" s="377">
        <v>108</v>
      </c>
      <c r="G23" s="377">
        <f>SUM(E23:F23)</f>
        <v>352</v>
      </c>
      <c r="H23" s="364">
        <f>C23/G23</f>
        <v>12061.551136363636</v>
      </c>
      <c r="I23" s="407">
        <f>(E23*120)+(F23*300)</f>
        <v>61680</v>
      </c>
      <c r="J23" s="347"/>
      <c r="K23" s="347"/>
      <c r="L23" s="348"/>
      <c r="M23" s="349"/>
    </row>
    <row r="24" spans="1:13" ht="18" customHeight="1">
      <c r="A24" s="356" t="s">
        <v>77</v>
      </c>
      <c r="B24" s="357"/>
      <c r="C24" s="358"/>
      <c r="D24" s="359"/>
      <c r="E24" s="378"/>
      <c r="F24" s="359"/>
      <c r="G24" s="359"/>
      <c r="H24" s="398"/>
      <c r="I24" s="408"/>
      <c r="J24" s="347">
        <v>138.4</v>
      </c>
      <c r="K24" s="347">
        <v>214.79</v>
      </c>
      <c r="L24" s="348">
        <v>52.86</v>
      </c>
      <c r="M24" s="349">
        <f>SUM(I25*2.5)</f>
        <v>109873.5</v>
      </c>
    </row>
    <row r="25" spans="1:13" ht="18" customHeight="1">
      <c r="A25" s="353"/>
      <c r="B25" s="354" t="s">
        <v>151</v>
      </c>
      <c r="C25" s="364">
        <v>3104444</v>
      </c>
      <c r="D25" s="355">
        <v>312.17</v>
      </c>
      <c r="E25" s="377">
        <v>170.47</v>
      </c>
      <c r="F25" s="377">
        <v>78.31</v>
      </c>
      <c r="G25" s="377">
        <f>SUM(E25:F25)</f>
        <v>248.78</v>
      </c>
      <c r="H25" s="364">
        <f>C25/G25</f>
        <v>12478.671918964546</v>
      </c>
      <c r="I25" s="407">
        <f>(E25*120)+(F25*300)</f>
        <v>43949.4</v>
      </c>
      <c r="J25" s="347"/>
      <c r="K25" s="347"/>
      <c r="L25" s="348"/>
      <c r="M25" s="349"/>
    </row>
    <row r="26" spans="1:13" ht="18" customHeight="1">
      <c r="A26" s="356" t="s">
        <v>78</v>
      </c>
      <c r="B26" s="357"/>
      <c r="C26" s="358"/>
      <c r="D26" s="359"/>
      <c r="E26" s="378"/>
      <c r="F26" s="359"/>
      <c r="G26" s="359"/>
      <c r="H26" s="398"/>
      <c r="I26" s="408"/>
      <c r="J26" s="347">
        <v>0</v>
      </c>
      <c r="K26" s="347">
        <v>0</v>
      </c>
      <c r="L26" s="348">
        <v>0</v>
      </c>
      <c r="M26" s="349">
        <f>SUM(I27*2.5)</f>
        <v>0</v>
      </c>
    </row>
    <row r="27" spans="1:13" ht="18" customHeight="1">
      <c r="A27" s="345"/>
      <c r="B27" s="346" t="s">
        <v>134</v>
      </c>
      <c r="C27" s="360">
        <v>0</v>
      </c>
      <c r="D27" s="351">
        <v>0</v>
      </c>
      <c r="E27" s="374">
        <v>0</v>
      </c>
      <c r="F27" s="351">
        <v>0</v>
      </c>
      <c r="G27" s="351">
        <v>0</v>
      </c>
      <c r="H27" s="360"/>
      <c r="I27" s="406">
        <f>(E27*120)+(F27*300)</f>
        <v>0</v>
      </c>
      <c r="J27" s="347">
        <v>0</v>
      </c>
      <c r="K27" s="347">
        <v>0</v>
      </c>
      <c r="L27" s="348">
        <v>0</v>
      </c>
      <c r="M27" s="349">
        <f>SUM(I28*2.5)</f>
        <v>0</v>
      </c>
    </row>
    <row r="28" spans="1:13" ht="18" customHeight="1" thickBot="1">
      <c r="A28" s="345"/>
      <c r="B28" s="346" t="s">
        <v>178</v>
      </c>
      <c r="C28" s="361">
        <v>0</v>
      </c>
      <c r="D28" s="365">
        <v>0</v>
      </c>
      <c r="E28" s="379">
        <v>0</v>
      </c>
      <c r="F28" s="365">
        <v>0</v>
      </c>
      <c r="G28" s="365">
        <v>0</v>
      </c>
      <c r="H28" s="361"/>
      <c r="I28" s="409">
        <f>(E28*120)+(F28*300)</f>
        <v>0</v>
      </c>
      <c r="J28" s="347"/>
      <c r="K28" s="347"/>
      <c r="L28" s="348"/>
      <c r="M28" s="349">
        <f>SUM(M26:M27)</f>
        <v>0</v>
      </c>
    </row>
    <row r="29" spans="1:13" ht="18" customHeight="1" thickTop="1">
      <c r="A29" s="353"/>
      <c r="B29" s="362" t="s">
        <v>168</v>
      </c>
      <c r="C29" s="387">
        <v>0</v>
      </c>
      <c r="D29" s="363">
        <v>0</v>
      </c>
      <c r="E29" s="380">
        <f>SUM(E27:E28)</f>
        <v>0</v>
      </c>
      <c r="F29" s="380">
        <f>SUM(F27:F28)</f>
        <v>0</v>
      </c>
      <c r="G29" s="380">
        <f>SUM(E29:F29)</f>
        <v>0</v>
      </c>
      <c r="H29" s="400"/>
      <c r="I29" s="410">
        <f>SUM(I27:I28)</f>
        <v>0</v>
      </c>
      <c r="J29" s="347">
        <f>SUM(J30:J34)</f>
        <v>1521</v>
      </c>
      <c r="K29" s="347"/>
      <c r="L29" s="348"/>
      <c r="M29" s="349"/>
    </row>
    <row r="30" spans="1:13" ht="18" customHeight="1">
      <c r="A30" s="356" t="s">
        <v>153</v>
      </c>
      <c r="B30" s="357"/>
      <c r="C30" s="358"/>
      <c r="D30" s="359"/>
      <c r="E30" s="378"/>
      <c r="F30" s="359"/>
      <c r="G30" s="359"/>
      <c r="H30" s="398"/>
      <c r="I30" s="408"/>
      <c r="J30" s="347">
        <v>489</v>
      </c>
      <c r="K30" s="347">
        <v>342</v>
      </c>
      <c r="L30" s="348">
        <v>125</v>
      </c>
      <c r="M30" s="349">
        <f>SUM(I31*2.5)</f>
        <v>90750</v>
      </c>
    </row>
    <row r="31" spans="1:13" ht="18" customHeight="1">
      <c r="A31" s="345"/>
      <c r="B31" s="346" t="s">
        <v>136</v>
      </c>
      <c r="C31" s="360">
        <v>4475369</v>
      </c>
      <c r="D31" s="351">
        <v>269</v>
      </c>
      <c r="E31" s="374">
        <v>140</v>
      </c>
      <c r="F31" s="374">
        <v>65</v>
      </c>
      <c r="G31" s="374">
        <f t="shared" ref="G31:G36" si="0">SUM(E31:F31)</f>
        <v>205</v>
      </c>
      <c r="H31" s="360">
        <f t="shared" ref="H31:H36" si="1">C31/G31</f>
        <v>21831.068292682929</v>
      </c>
      <c r="I31" s="406">
        <f>(E31*120)+(F31*300)</f>
        <v>36300</v>
      </c>
      <c r="J31" s="347">
        <v>305</v>
      </c>
      <c r="K31" s="347">
        <v>238</v>
      </c>
      <c r="L31" s="348">
        <v>253</v>
      </c>
      <c r="M31" s="349">
        <f>SUM(I32*2.5)</f>
        <v>244200</v>
      </c>
    </row>
    <row r="32" spans="1:13" ht="18" customHeight="1">
      <c r="A32" s="345"/>
      <c r="B32" s="346" t="s">
        <v>143</v>
      </c>
      <c r="C32" s="360">
        <v>7785235</v>
      </c>
      <c r="D32" s="351">
        <v>272</v>
      </c>
      <c r="E32" s="374">
        <v>334</v>
      </c>
      <c r="F32" s="374">
        <v>192</v>
      </c>
      <c r="G32" s="374">
        <f t="shared" si="0"/>
        <v>526</v>
      </c>
      <c r="H32" s="360">
        <f t="shared" si="1"/>
        <v>14800.826996197718</v>
      </c>
      <c r="I32" s="406">
        <f>(E32*120)+(F32*300)</f>
        <v>97680</v>
      </c>
      <c r="J32" s="347"/>
      <c r="K32" s="347"/>
      <c r="L32" s="348"/>
      <c r="M32" s="349">
        <f>SUM(I33*2.5)</f>
        <v>205500</v>
      </c>
    </row>
    <row r="33" spans="1:13" ht="18" customHeight="1">
      <c r="A33" s="345"/>
      <c r="B33" s="346" t="s">
        <v>137</v>
      </c>
      <c r="C33" s="360">
        <v>5085674</v>
      </c>
      <c r="D33" s="351">
        <v>438</v>
      </c>
      <c r="E33" s="374">
        <v>300</v>
      </c>
      <c r="F33" s="374">
        <v>154</v>
      </c>
      <c r="G33" s="374">
        <f t="shared" si="0"/>
        <v>454</v>
      </c>
      <c r="H33" s="360">
        <f t="shared" si="1"/>
        <v>11201.925110132159</v>
      </c>
      <c r="I33" s="406">
        <f>(E33*120)+(F33*300)</f>
        <v>82200</v>
      </c>
      <c r="J33" s="347">
        <v>507</v>
      </c>
      <c r="K33" s="347">
        <v>691</v>
      </c>
      <c r="L33" s="348">
        <v>528</v>
      </c>
      <c r="M33" s="349">
        <f>SUM(I34*2.5)</f>
        <v>139200</v>
      </c>
    </row>
    <row r="34" spans="1:13" ht="18" customHeight="1">
      <c r="A34" s="345"/>
      <c r="B34" s="346" t="s">
        <v>155</v>
      </c>
      <c r="C34" s="360">
        <v>5056363</v>
      </c>
      <c r="D34" s="351">
        <v>309</v>
      </c>
      <c r="E34" s="374">
        <v>224</v>
      </c>
      <c r="F34" s="374">
        <v>96</v>
      </c>
      <c r="G34" s="374">
        <f t="shared" si="0"/>
        <v>320</v>
      </c>
      <c r="H34" s="360">
        <f t="shared" si="1"/>
        <v>15801.134375</v>
      </c>
      <c r="I34" s="406">
        <f>(E34*120)+(F34*300)</f>
        <v>55680</v>
      </c>
      <c r="J34" s="347">
        <v>220</v>
      </c>
      <c r="K34" s="347">
        <v>552</v>
      </c>
      <c r="L34" s="348">
        <v>858</v>
      </c>
      <c r="M34" s="349">
        <f>SUM(I35*2.5)</f>
        <v>51150</v>
      </c>
    </row>
    <row r="35" spans="1:13" ht="18" customHeight="1" thickBot="1">
      <c r="A35" s="345"/>
      <c r="B35" s="346" t="s">
        <v>138</v>
      </c>
      <c r="C35" s="361">
        <v>2493616</v>
      </c>
      <c r="D35" s="365">
        <v>104</v>
      </c>
      <c r="E35" s="379">
        <v>88</v>
      </c>
      <c r="F35" s="379">
        <v>33</v>
      </c>
      <c r="G35" s="379">
        <f t="shared" si="0"/>
        <v>121</v>
      </c>
      <c r="H35" s="361">
        <f t="shared" si="1"/>
        <v>20608.396694214876</v>
      </c>
      <c r="I35" s="409">
        <f>(E35*120)+(F35*300)</f>
        <v>20460</v>
      </c>
      <c r="J35" s="347"/>
      <c r="K35" s="347"/>
      <c r="L35" s="348"/>
      <c r="M35" s="349">
        <f>SUM(M30:M34)</f>
        <v>730800</v>
      </c>
    </row>
    <row r="36" spans="1:13" ht="18" customHeight="1" thickTop="1">
      <c r="A36" s="353"/>
      <c r="B36" s="362" t="s">
        <v>169</v>
      </c>
      <c r="C36" s="385">
        <f>SUM(C31:C35)</f>
        <v>24896257</v>
      </c>
      <c r="D36" s="371">
        <f>SUM(D31:D35)</f>
        <v>1392</v>
      </c>
      <c r="E36" s="384">
        <f>SUM(E31:E35)</f>
        <v>1086</v>
      </c>
      <c r="F36" s="384">
        <f>SUM(F31:F35)</f>
        <v>540</v>
      </c>
      <c r="G36" s="384">
        <f t="shared" si="0"/>
        <v>1626</v>
      </c>
      <c r="H36" s="400">
        <f t="shared" si="1"/>
        <v>15311.351168511685</v>
      </c>
      <c r="I36" s="410">
        <f>SUM(I31:I35)</f>
        <v>292320</v>
      </c>
      <c r="J36" s="347"/>
      <c r="K36" s="347"/>
      <c r="L36" s="348"/>
      <c r="M36" s="349"/>
    </row>
    <row r="37" spans="1:13" ht="18" customHeight="1">
      <c r="A37" s="356" t="s">
        <v>86</v>
      </c>
      <c r="B37" s="357"/>
      <c r="C37" s="351"/>
      <c r="D37" s="351"/>
      <c r="E37" s="378"/>
      <c r="F37" s="359"/>
      <c r="G37" s="359"/>
      <c r="H37" s="398"/>
      <c r="I37" s="408"/>
      <c r="J37" s="347">
        <v>37.1</v>
      </c>
      <c r="K37" s="347">
        <v>84.7</v>
      </c>
      <c r="L37" s="348">
        <v>134.4</v>
      </c>
      <c r="M37" s="349">
        <f>SUM(I38*2.5)</f>
        <v>32550</v>
      </c>
    </row>
    <row r="38" spans="1:13" ht="18" customHeight="1" thickBot="1">
      <c r="A38" s="366"/>
      <c r="B38" s="367" t="s">
        <v>139</v>
      </c>
      <c r="C38" s="361">
        <v>2221036</v>
      </c>
      <c r="D38" s="365">
        <v>515</v>
      </c>
      <c r="E38" s="379">
        <v>51</v>
      </c>
      <c r="F38" s="379">
        <v>23</v>
      </c>
      <c r="G38" s="379">
        <f>SUM(E38:F38)</f>
        <v>74</v>
      </c>
      <c r="H38" s="361">
        <f>C38/G38</f>
        <v>30014</v>
      </c>
      <c r="I38" s="409">
        <f>(E38*120)+(F38*300)</f>
        <v>13020</v>
      </c>
      <c r="J38" s="347"/>
      <c r="K38" s="347"/>
      <c r="L38" s="348"/>
      <c r="M38" s="349" t="e">
        <f>SUM(#REF!*2.5)</f>
        <v>#REF!</v>
      </c>
    </row>
    <row r="39" spans="1:13" ht="27.75" customHeight="1" thickTop="1" thickBot="1">
      <c r="A39" s="2082" t="s">
        <v>44</v>
      </c>
      <c r="B39" s="2083"/>
      <c r="C39" s="368">
        <f>SUM(C6,C13,C15,C17,C21,C23,C25,C29,C36,C38)</f>
        <v>48179875</v>
      </c>
      <c r="D39" s="369">
        <f>SUM(D6,D13,D15,D17,D21,D23,D25,D29,D36,D38)</f>
        <v>4316.4400000000005</v>
      </c>
      <c r="E39" s="369">
        <f>SUM(E6,E8,E13,E15,E17,E21,E23,E25,E29,E36,E38)</f>
        <v>1976.4</v>
      </c>
      <c r="F39" s="369">
        <f>SUM(F6,F8,F13,F15,F17,F21,F23,F25,F29,F36,F38)</f>
        <v>1046.8920000000001</v>
      </c>
      <c r="G39" s="369">
        <f>SUM(E39:F39)</f>
        <v>3023.2920000000004</v>
      </c>
      <c r="H39" s="368">
        <f>C39/G39</f>
        <v>15936.229447899837</v>
      </c>
      <c r="I39" s="370">
        <f>(E39*120)+(F39*300)</f>
        <v>551235.60000000009</v>
      </c>
    </row>
    <row r="40" spans="1:13" ht="18" customHeight="1">
      <c r="E40" s="390"/>
      <c r="F40" s="391"/>
      <c r="G40" s="391"/>
      <c r="H40" s="401"/>
    </row>
  </sheetData>
  <mergeCells count="10">
    <mergeCell ref="I1:I2"/>
    <mergeCell ref="A39:B39"/>
    <mergeCell ref="E1:E2"/>
    <mergeCell ref="A1:A2"/>
    <mergeCell ref="B1:B2"/>
    <mergeCell ref="C1:C2"/>
    <mergeCell ref="F1:F2"/>
    <mergeCell ref="G1:G2"/>
    <mergeCell ref="D1:D2"/>
    <mergeCell ref="H1:H2"/>
  </mergeCells>
  <phoneticPr fontId="0" type="noConversion"/>
  <pageMargins left="0.73" right="0.75" top="0.51" bottom="0.39" header="0.25" footer="0.25"/>
  <pageSetup scale="77" orientation="landscape" r:id="rId1"/>
  <headerFooter alignWithMargins="0">
    <oddHeader>&amp;C&amp;"CG Times,Bold"&amp;14 2003 Texas Coal Production and Fee-Payment Information</oddHeader>
    <oddFooter>&amp;R&amp;"CG Times,Regular"&amp;D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41"/>
  <sheetViews>
    <sheetView zoomScale="90" zoomScaleNormal="90" workbookViewId="0">
      <selection activeCell="Q2" sqref="Q2:Z2"/>
    </sheetView>
  </sheetViews>
  <sheetFormatPr defaultColWidth="9.140625" defaultRowHeight="18" customHeight="1"/>
  <cols>
    <col min="1" max="1" width="18.85546875" style="259" customWidth="1"/>
    <col min="2" max="2" width="24.85546875" style="259" bestFit="1" customWidth="1"/>
    <col min="3" max="3" width="16.42578125" style="259" customWidth="1"/>
    <col min="4" max="5" width="15.85546875" style="259" customWidth="1"/>
    <col min="6" max="7" width="8.5703125" style="259" hidden="1" customWidth="1"/>
    <col min="8" max="8" width="8.5703125" style="248" hidden="1" customWidth="1"/>
    <col min="9" max="9" width="14.5703125" style="248" hidden="1" customWidth="1"/>
    <col min="10" max="16384" width="9.140625" style="248"/>
  </cols>
  <sheetData>
    <row r="1" spans="1:9" ht="18" customHeight="1" thickTop="1">
      <c r="A1" s="2111" t="s">
        <v>6</v>
      </c>
      <c r="B1" s="2113" t="s">
        <v>162</v>
      </c>
      <c r="C1" s="2115" t="s">
        <v>159</v>
      </c>
      <c r="D1" s="2105" t="s">
        <v>160</v>
      </c>
      <c r="E1" s="2107" t="s">
        <v>161</v>
      </c>
      <c r="F1" s="260" t="s">
        <v>108</v>
      </c>
      <c r="G1" s="261" t="s">
        <v>108</v>
      </c>
      <c r="H1" s="262" t="s">
        <v>108</v>
      </c>
      <c r="I1" s="263" t="s">
        <v>148</v>
      </c>
    </row>
    <row r="2" spans="1:9" ht="18" customHeight="1" thickBot="1">
      <c r="A2" s="2112"/>
      <c r="B2" s="2114"/>
      <c r="C2" s="2116"/>
      <c r="D2" s="2106"/>
      <c r="E2" s="2108"/>
      <c r="F2" s="260">
        <v>1999</v>
      </c>
      <c r="G2" s="261">
        <v>1998</v>
      </c>
      <c r="H2" s="262">
        <v>1998</v>
      </c>
      <c r="I2" s="264" t="s">
        <v>149</v>
      </c>
    </row>
    <row r="3" spans="1:9" ht="18" customHeight="1">
      <c r="A3" s="293" t="s">
        <v>110</v>
      </c>
      <c r="B3" s="290"/>
      <c r="C3" s="285"/>
      <c r="D3" s="285"/>
      <c r="E3" s="288"/>
      <c r="F3" s="249"/>
      <c r="G3" s="249"/>
      <c r="H3" s="250"/>
      <c r="I3" s="251"/>
    </row>
    <row r="4" spans="1:9" ht="18" customHeight="1">
      <c r="A4" s="291"/>
      <c r="B4" s="292" t="s">
        <v>125</v>
      </c>
      <c r="C4" s="286">
        <v>5669398</v>
      </c>
      <c r="D4" s="287">
        <v>229.85</v>
      </c>
      <c r="E4" s="289">
        <v>27582</v>
      </c>
      <c r="F4" s="252">
        <v>256</v>
      </c>
      <c r="G4" s="252">
        <v>300</v>
      </c>
      <c r="H4" s="253">
        <v>317</v>
      </c>
      <c r="I4" s="254" t="e">
        <f>SUM(#REF!*2.5)</f>
        <v>#REF!</v>
      </c>
    </row>
    <row r="5" spans="1:9" ht="18" hidden="1" customHeight="1">
      <c r="A5" s="283" t="s">
        <v>65</v>
      </c>
      <c r="B5" s="284"/>
      <c r="C5" s="278"/>
      <c r="D5" s="279"/>
      <c r="E5" s="280"/>
      <c r="F5" s="252"/>
      <c r="G5" s="252"/>
      <c r="H5" s="253"/>
      <c r="I5" s="251"/>
    </row>
    <row r="6" spans="1:9" ht="18" hidden="1" customHeight="1">
      <c r="A6" s="281"/>
      <c r="B6" s="282" t="s">
        <v>126</v>
      </c>
      <c r="C6" s="277">
        <v>0</v>
      </c>
      <c r="D6" s="276">
        <v>0</v>
      </c>
      <c r="E6" s="275">
        <f>SUM(D6)*(120)</f>
        <v>0</v>
      </c>
      <c r="F6" s="252">
        <v>0</v>
      </c>
      <c r="G6" s="252">
        <v>0</v>
      </c>
      <c r="H6" s="253">
        <v>0</v>
      </c>
      <c r="I6" s="251"/>
    </row>
    <row r="7" spans="1:9" ht="18" customHeight="1">
      <c r="A7" s="318" t="s">
        <v>179</v>
      </c>
      <c r="B7" s="294"/>
      <c r="C7" s="295"/>
      <c r="D7" s="296"/>
      <c r="E7" s="297"/>
      <c r="F7" s="252"/>
      <c r="G7" s="252"/>
      <c r="H7" s="253"/>
      <c r="I7" s="254"/>
    </row>
    <row r="8" spans="1:9" ht="18" customHeight="1">
      <c r="A8" s="291"/>
      <c r="B8" s="292" t="s">
        <v>144</v>
      </c>
      <c r="C8" s="286">
        <v>0</v>
      </c>
      <c r="D8" s="298">
        <v>0</v>
      </c>
      <c r="E8" s="299">
        <f>SUM(D8)*(120)</f>
        <v>0</v>
      </c>
      <c r="F8" s="252"/>
      <c r="G8" s="252"/>
      <c r="H8" s="253"/>
      <c r="I8" s="254">
        <f>SUM(E8*2.5)</f>
        <v>0</v>
      </c>
    </row>
    <row r="9" spans="1:9" ht="18" customHeight="1">
      <c r="A9" s="317" t="s">
        <v>67</v>
      </c>
      <c r="B9" s="300"/>
      <c r="C9" s="301"/>
      <c r="D9" s="302"/>
      <c r="E9" s="303"/>
      <c r="F9" s="252"/>
      <c r="G9" s="252"/>
      <c r="H9" s="253"/>
      <c r="I9" s="254"/>
    </row>
    <row r="10" spans="1:9" ht="18" customHeight="1">
      <c r="A10" s="304"/>
      <c r="B10" s="305" t="s">
        <v>127</v>
      </c>
      <c r="C10" s="306">
        <v>17242.91</v>
      </c>
      <c r="D10" s="307">
        <v>2.38</v>
      </c>
      <c r="E10" s="308">
        <f>SUM(D10)*(120)</f>
        <v>285.59999999999997</v>
      </c>
      <c r="F10" s="252">
        <v>3.1</v>
      </c>
      <c r="G10" s="252">
        <v>44.74</v>
      </c>
      <c r="H10" s="253">
        <v>33</v>
      </c>
      <c r="I10" s="254">
        <f>SUM(E10*2.5)</f>
        <v>713.99999999999989</v>
      </c>
    </row>
    <row r="11" spans="1:9" ht="18" customHeight="1">
      <c r="A11" s="304"/>
      <c r="B11" s="305" t="s">
        <v>128</v>
      </c>
      <c r="C11" s="306">
        <v>13263.93</v>
      </c>
      <c r="D11" s="307">
        <v>0</v>
      </c>
      <c r="E11" s="308">
        <f>SUM(D11)*(120)</f>
        <v>0</v>
      </c>
      <c r="F11" s="252">
        <v>0</v>
      </c>
      <c r="G11" s="252">
        <v>0</v>
      </c>
      <c r="H11" s="253">
        <v>0</v>
      </c>
      <c r="I11" s="254">
        <f>SUM(E11*2.5)</f>
        <v>0</v>
      </c>
    </row>
    <row r="12" spans="1:9" ht="18" customHeight="1" thickBot="1">
      <c r="A12" s="304"/>
      <c r="B12" s="305" t="s">
        <v>129</v>
      </c>
      <c r="C12" s="314">
        <v>0</v>
      </c>
      <c r="D12" s="322">
        <v>2.78</v>
      </c>
      <c r="E12" s="316">
        <f>SUM(D12)*(120)</f>
        <v>333.59999999999997</v>
      </c>
      <c r="F12" s="252">
        <v>15.1</v>
      </c>
      <c r="G12" s="252">
        <v>12.32</v>
      </c>
      <c r="H12" s="253">
        <v>28</v>
      </c>
      <c r="I12" s="254">
        <f>SUM(E12*2.5)</f>
        <v>833.99999999999989</v>
      </c>
    </row>
    <row r="13" spans="1:9" ht="18" customHeight="1" thickTop="1">
      <c r="A13" s="291"/>
      <c r="B13" s="325" t="s">
        <v>150</v>
      </c>
      <c r="C13" s="326">
        <f>SUM(C10:C12)</f>
        <v>30506.84</v>
      </c>
      <c r="D13" s="327">
        <f>SUM(D10:D12)</f>
        <v>5.16</v>
      </c>
      <c r="E13" s="328">
        <f>SUM(E10:E12)</f>
        <v>619.19999999999993</v>
      </c>
      <c r="F13" s="252"/>
      <c r="G13" s="252"/>
      <c r="H13" s="253"/>
      <c r="I13" s="254">
        <f>SUM(I10:I12)</f>
        <v>1547.9999999999998</v>
      </c>
    </row>
    <row r="14" spans="1:9" ht="18" customHeight="1">
      <c r="A14" s="317" t="s">
        <v>116</v>
      </c>
      <c r="B14" s="300"/>
      <c r="C14" s="301"/>
      <c r="D14" s="302"/>
      <c r="E14" s="303"/>
      <c r="F14" s="252"/>
      <c r="G14" s="252"/>
      <c r="H14" s="253"/>
      <c r="I14" s="254"/>
    </row>
    <row r="15" spans="1:9" ht="18" customHeight="1">
      <c r="A15" s="291"/>
      <c r="B15" s="292" t="s">
        <v>130</v>
      </c>
      <c r="C15" s="286">
        <v>0</v>
      </c>
      <c r="D15" s="298">
        <v>0</v>
      </c>
      <c r="E15" s="299">
        <f>SUM(D15)*(120)</f>
        <v>0</v>
      </c>
      <c r="F15" s="252">
        <v>0</v>
      </c>
      <c r="G15" s="252">
        <v>0</v>
      </c>
      <c r="H15" s="253">
        <v>0</v>
      </c>
      <c r="I15" s="254">
        <f>SUM(E15*2.5)</f>
        <v>0</v>
      </c>
    </row>
    <row r="16" spans="1:9" ht="18" customHeight="1">
      <c r="A16" s="317" t="s">
        <v>72</v>
      </c>
      <c r="B16" s="300"/>
      <c r="C16" s="301"/>
      <c r="D16" s="302"/>
      <c r="E16" s="303"/>
      <c r="F16" s="252"/>
      <c r="G16" s="252"/>
      <c r="H16" s="253"/>
      <c r="I16" s="254"/>
    </row>
    <row r="17" spans="1:9" ht="18" customHeight="1">
      <c r="A17" s="291"/>
      <c r="B17" s="292" t="s">
        <v>131</v>
      </c>
      <c r="C17" s="286">
        <v>0</v>
      </c>
      <c r="D17" s="298">
        <v>0</v>
      </c>
      <c r="E17" s="299">
        <f>SUM(D17)*(120)</f>
        <v>0</v>
      </c>
      <c r="F17" s="252">
        <v>13.8</v>
      </c>
      <c r="G17" s="252">
        <v>10.7</v>
      </c>
      <c r="H17" s="253">
        <v>27.2</v>
      </c>
      <c r="I17" s="254">
        <f>SUM(E17*2.5)</f>
        <v>0</v>
      </c>
    </row>
    <row r="18" spans="1:9" ht="18" customHeight="1">
      <c r="A18" s="317" t="s">
        <v>74</v>
      </c>
      <c r="B18" s="300"/>
      <c r="C18" s="301"/>
      <c r="D18" s="302"/>
      <c r="E18" s="303"/>
      <c r="F18" s="252"/>
      <c r="G18" s="252"/>
      <c r="H18" s="253"/>
      <c r="I18" s="254"/>
    </row>
    <row r="19" spans="1:9" ht="18" customHeight="1">
      <c r="A19" s="304"/>
      <c r="B19" s="305" t="s">
        <v>132</v>
      </c>
      <c r="C19" s="306">
        <v>6400152</v>
      </c>
      <c r="D19" s="307">
        <v>389</v>
      </c>
      <c r="E19" s="308">
        <f>SUM(D19)*(120)</f>
        <v>46680</v>
      </c>
      <c r="F19" s="252">
        <v>330</v>
      </c>
      <c r="G19" s="252">
        <v>270</v>
      </c>
      <c r="H19" s="253">
        <v>404</v>
      </c>
      <c r="I19" s="254">
        <f>SUM(E19*2.5)</f>
        <v>116700</v>
      </c>
    </row>
    <row r="20" spans="1:9" ht="18" customHeight="1" thickBot="1">
      <c r="A20" s="304"/>
      <c r="B20" s="305" t="s">
        <v>157</v>
      </c>
      <c r="C20" s="314">
        <v>330307</v>
      </c>
      <c r="D20" s="315">
        <v>35</v>
      </c>
      <c r="E20" s="316">
        <f>SUM(D20)*(120)</f>
        <v>4200</v>
      </c>
      <c r="F20" s="252"/>
      <c r="G20" s="252"/>
      <c r="H20" s="253"/>
      <c r="I20" s="254"/>
    </row>
    <row r="21" spans="1:9" ht="18" customHeight="1" thickTop="1">
      <c r="A21" s="291"/>
      <c r="B21" s="325" t="s">
        <v>158</v>
      </c>
      <c r="C21" s="330">
        <f>SUM(C19:C20)</f>
        <v>6730459</v>
      </c>
      <c r="D21" s="331">
        <f>SUM(D19:D20)</f>
        <v>424</v>
      </c>
      <c r="E21" s="332">
        <f>SUM(E19:E20)</f>
        <v>50880</v>
      </c>
      <c r="F21" s="252"/>
      <c r="G21" s="252"/>
      <c r="H21" s="253"/>
      <c r="I21" s="254"/>
    </row>
    <row r="22" spans="1:9" ht="18" customHeight="1">
      <c r="A22" s="317" t="s">
        <v>75</v>
      </c>
      <c r="B22" s="300"/>
      <c r="C22" s="301"/>
      <c r="D22" s="302"/>
      <c r="E22" s="303"/>
      <c r="F22" s="252">
        <v>441.8</v>
      </c>
      <c r="G22" s="252">
        <v>974.4</v>
      </c>
      <c r="H22" s="253">
        <v>356</v>
      </c>
      <c r="I22" s="254">
        <f>SUM(E23*2.5)</f>
        <v>98970</v>
      </c>
    </row>
    <row r="23" spans="1:9" ht="18" customHeight="1">
      <c r="A23" s="291"/>
      <c r="B23" s="292" t="s">
        <v>133</v>
      </c>
      <c r="C23" s="309">
        <v>4028314</v>
      </c>
      <c r="D23" s="287">
        <v>329.9</v>
      </c>
      <c r="E23" s="299">
        <f>SUM(D23)*(120)</f>
        <v>39588</v>
      </c>
      <c r="F23" s="252"/>
      <c r="G23" s="252"/>
      <c r="H23" s="253"/>
      <c r="I23" s="254"/>
    </row>
    <row r="24" spans="1:9" ht="18" customHeight="1">
      <c r="A24" s="317" t="s">
        <v>77</v>
      </c>
      <c r="B24" s="300"/>
      <c r="C24" s="301"/>
      <c r="D24" s="302"/>
      <c r="E24" s="303"/>
      <c r="F24" s="252">
        <v>138.4</v>
      </c>
      <c r="G24" s="252">
        <v>214.79</v>
      </c>
      <c r="H24" s="253">
        <v>52.86</v>
      </c>
      <c r="I24" s="254">
        <f>SUM(E25*2.5)</f>
        <v>82320</v>
      </c>
    </row>
    <row r="25" spans="1:9" ht="18" customHeight="1">
      <c r="A25" s="291"/>
      <c r="B25" s="292" t="s">
        <v>151</v>
      </c>
      <c r="C25" s="309">
        <v>3293072</v>
      </c>
      <c r="D25" s="287">
        <v>274.39999999999998</v>
      </c>
      <c r="E25" s="299">
        <f>SUM(D25)*(120)</f>
        <v>32928</v>
      </c>
      <c r="F25" s="252"/>
      <c r="G25" s="252"/>
      <c r="H25" s="253"/>
      <c r="I25" s="254"/>
    </row>
    <row r="26" spans="1:9" ht="18" customHeight="1">
      <c r="A26" s="317" t="s">
        <v>78</v>
      </c>
      <c r="B26" s="300"/>
      <c r="C26" s="301"/>
      <c r="D26" s="302"/>
      <c r="E26" s="303"/>
      <c r="F26" s="252">
        <v>0</v>
      </c>
      <c r="G26" s="252">
        <v>0</v>
      </c>
      <c r="H26" s="253">
        <v>0</v>
      </c>
      <c r="I26" s="254">
        <f>SUM(E27*2.5)</f>
        <v>0</v>
      </c>
    </row>
    <row r="27" spans="1:9" ht="18" customHeight="1">
      <c r="A27" s="304"/>
      <c r="B27" s="305" t="s">
        <v>134</v>
      </c>
      <c r="C27" s="310">
        <v>0</v>
      </c>
      <c r="D27" s="311">
        <v>0</v>
      </c>
      <c r="E27" s="308">
        <f>SUM(D27)*(120)</f>
        <v>0</v>
      </c>
      <c r="F27" s="252">
        <v>0</v>
      </c>
      <c r="G27" s="252">
        <v>0</v>
      </c>
      <c r="H27" s="253">
        <v>0</v>
      </c>
      <c r="I27" s="254">
        <f>SUM(E28*2.5)</f>
        <v>0</v>
      </c>
    </row>
    <row r="28" spans="1:9" ht="18" customHeight="1" thickBot="1">
      <c r="A28" s="304"/>
      <c r="B28" s="305" t="s">
        <v>135</v>
      </c>
      <c r="C28" s="323">
        <v>0</v>
      </c>
      <c r="D28" s="324">
        <v>0</v>
      </c>
      <c r="E28" s="316">
        <f>SUM(D28)*(120)</f>
        <v>0</v>
      </c>
      <c r="F28" s="252"/>
      <c r="G28" s="252"/>
      <c r="H28" s="253"/>
      <c r="I28" s="254">
        <f>SUM(I26:I27)</f>
        <v>0</v>
      </c>
    </row>
    <row r="29" spans="1:9" ht="18" customHeight="1" thickTop="1">
      <c r="A29" s="291"/>
      <c r="B29" s="325" t="s">
        <v>152</v>
      </c>
      <c r="C29" s="329">
        <f>SUM(C27:C28)</f>
        <v>0</v>
      </c>
      <c r="D29" s="327">
        <f>SUM(D27:D28)</f>
        <v>0</v>
      </c>
      <c r="E29" s="328">
        <f>SUM(E27:E28)</f>
        <v>0</v>
      </c>
      <c r="F29" s="252">
        <f>SUM(F30:F34)</f>
        <v>1521</v>
      </c>
      <c r="G29" s="252"/>
      <c r="H29" s="253"/>
      <c r="I29" s="254"/>
    </row>
    <row r="30" spans="1:9" ht="18" customHeight="1">
      <c r="A30" s="317" t="s">
        <v>153</v>
      </c>
      <c r="B30" s="300"/>
      <c r="C30" s="301"/>
      <c r="D30" s="302"/>
      <c r="E30" s="303"/>
      <c r="F30" s="252">
        <v>489</v>
      </c>
      <c r="G30" s="252">
        <v>342</v>
      </c>
      <c r="H30" s="253">
        <v>125</v>
      </c>
      <c r="I30" s="254">
        <f>SUM(E31*2.5)</f>
        <v>46800</v>
      </c>
    </row>
    <row r="31" spans="1:9" ht="18" customHeight="1">
      <c r="A31" s="304"/>
      <c r="B31" s="305" t="s">
        <v>136</v>
      </c>
      <c r="C31" s="306">
        <v>4166991</v>
      </c>
      <c r="D31" s="307">
        <v>156</v>
      </c>
      <c r="E31" s="308">
        <f>SUM(D31)*(120)</f>
        <v>18720</v>
      </c>
      <c r="F31" s="252">
        <v>305</v>
      </c>
      <c r="G31" s="252">
        <v>238</v>
      </c>
      <c r="H31" s="253">
        <v>253</v>
      </c>
      <c r="I31" s="254">
        <f>SUM(E32*2.5)</f>
        <v>122700</v>
      </c>
    </row>
    <row r="32" spans="1:9" ht="18" customHeight="1">
      <c r="A32" s="304"/>
      <c r="B32" s="305" t="s">
        <v>154</v>
      </c>
      <c r="C32" s="306">
        <v>7144994</v>
      </c>
      <c r="D32" s="307">
        <v>409</v>
      </c>
      <c r="E32" s="308">
        <f>SUM(D32)*(120)</f>
        <v>49080</v>
      </c>
      <c r="F32" s="252"/>
      <c r="G32" s="252"/>
      <c r="H32" s="253"/>
      <c r="I32" s="254">
        <f>SUM(E33*2.5)</f>
        <v>121800</v>
      </c>
    </row>
    <row r="33" spans="1:9" ht="18" customHeight="1">
      <c r="A33" s="304"/>
      <c r="B33" s="305" t="s">
        <v>137</v>
      </c>
      <c r="C33" s="306">
        <v>4096369</v>
      </c>
      <c r="D33" s="307">
        <v>406</v>
      </c>
      <c r="E33" s="308">
        <f>SUM(D33)*(120)</f>
        <v>48720</v>
      </c>
      <c r="F33" s="252">
        <v>507</v>
      </c>
      <c r="G33" s="252">
        <v>691</v>
      </c>
      <c r="H33" s="253">
        <v>528</v>
      </c>
      <c r="I33" s="254">
        <f>SUM(E34*2.5)</f>
        <v>110100</v>
      </c>
    </row>
    <row r="34" spans="1:9" ht="18" customHeight="1">
      <c r="A34" s="304"/>
      <c r="B34" s="305" t="s">
        <v>155</v>
      </c>
      <c r="C34" s="306">
        <v>5315184</v>
      </c>
      <c r="D34" s="307">
        <v>367</v>
      </c>
      <c r="E34" s="308">
        <f>SUM(D34)*(120)</f>
        <v>44040</v>
      </c>
      <c r="F34" s="252">
        <v>220</v>
      </c>
      <c r="G34" s="252">
        <v>552</v>
      </c>
      <c r="H34" s="253">
        <v>858</v>
      </c>
      <c r="I34" s="254">
        <f>SUM(E35*2.5)</f>
        <v>29100</v>
      </c>
    </row>
    <row r="35" spans="1:9" ht="18" customHeight="1" thickBot="1">
      <c r="A35" s="304"/>
      <c r="B35" s="305" t="s">
        <v>138</v>
      </c>
      <c r="C35" s="314">
        <v>2279902</v>
      </c>
      <c r="D35" s="315">
        <v>97</v>
      </c>
      <c r="E35" s="316">
        <f>SUM(D35)*(120)</f>
        <v>11640</v>
      </c>
      <c r="F35" s="252"/>
      <c r="G35" s="252"/>
      <c r="H35" s="253"/>
      <c r="I35" s="254">
        <f>SUM(I30:I34)</f>
        <v>430500</v>
      </c>
    </row>
    <row r="36" spans="1:9" ht="18" customHeight="1" thickTop="1">
      <c r="A36" s="291"/>
      <c r="B36" s="325" t="s">
        <v>156</v>
      </c>
      <c r="C36" s="326">
        <f>SUM(C31:C35)</f>
        <v>23003440</v>
      </c>
      <c r="D36" s="327">
        <f>SUM(D31:D35)</f>
        <v>1435</v>
      </c>
      <c r="E36" s="328">
        <f>SUM(E31:E35)</f>
        <v>172200</v>
      </c>
      <c r="F36" s="252"/>
      <c r="G36" s="252"/>
      <c r="H36" s="253"/>
      <c r="I36" s="254"/>
    </row>
    <row r="37" spans="1:9" ht="18" customHeight="1">
      <c r="A37" s="317" t="s">
        <v>86</v>
      </c>
      <c r="B37" s="300"/>
      <c r="C37" s="302"/>
      <c r="D37" s="302"/>
      <c r="E37" s="303"/>
      <c r="F37" s="252">
        <v>37.1</v>
      </c>
      <c r="G37" s="252">
        <v>84.7</v>
      </c>
      <c r="H37" s="253">
        <v>134.4</v>
      </c>
      <c r="I37" s="254">
        <f>SUM(E38*2.5)</f>
        <v>27600</v>
      </c>
    </row>
    <row r="38" spans="1:9" ht="18" customHeight="1" thickBot="1">
      <c r="A38" s="312"/>
      <c r="B38" s="313" t="s">
        <v>139</v>
      </c>
      <c r="C38" s="314">
        <v>1928603</v>
      </c>
      <c r="D38" s="315">
        <v>92</v>
      </c>
      <c r="E38" s="316">
        <f>SUM(D38)*(120)</f>
        <v>11040</v>
      </c>
      <c r="F38" s="252"/>
      <c r="G38" s="252"/>
      <c r="H38" s="253"/>
      <c r="I38" s="254">
        <f>SUM(E39*2.5)</f>
        <v>0</v>
      </c>
    </row>
    <row r="39" spans="1:9" ht="18" hidden="1" customHeight="1">
      <c r="A39" s="270" t="s">
        <v>88</v>
      </c>
      <c r="B39" s="271"/>
      <c r="C39" s="272"/>
      <c r="D39" s="273"/>
      <c r="E39" s="274"/>
      <c r="F39" s="252"/>
      <c r="G39" s="252"/>
      <c r="H39" s="253"/>
      <c r="I39" s="254">
        <f>SUM(E40*2.5)</f>
        <v>0</v>
      </c>
    </row>
    <row r="40" spans="1:9" ht="18" hidden="1" customHeight="1" thickBot="1">
      <c r="A40" s="268"/>
      <c r="B40" s="265" t="s">
        <v>140</v>
      </c>
      <c r="C40" s="267">
        <v>0</v>
      </c>
      <c r="D40" s="266">
        <v>0</v>
      </c>
      <c r="E40" s="269">
        <v>0</v>
      </c>
      <c r="F40" s="255"/>
      <c r="G40" s="256"/>
      <c r="H40" s="257"/>
      <c r="I40" s="258"/>
    </row>
    <row r="41" spans="1:9" ht="34.5" customHeight="1" thickTop="1" thickBot="1">
      <c r="A41" s="2109" t="s">
        <v>44</v>
      </c>
      <c r="B41" s="2110"/>
      <c r="C41" s="319">
        <f>SUM(C4,C13,C21:C29,C36,C38)</f>
        <v>44683792.840000004</v>
      </c>
      <c r="D41" s="320">
        <f>SUM(D4,D13,D21:D29,D36,D38)</f>
        <v>2790.31</v>
      </c>
      <c r="E41" s="321">
        <f>SUM(E4,E13,E21:E29,E36,E38)</f>
        <v>334837.2</v>
      </c>
    </row>
  </sheetData>
  <mergeCells count="6">
    <mergeCell ref="D1:D2"/>
    <mergeCell ref="E1:E2"/>
    <mergeCell ref="A41:B41"/>
    <mergeCell ref="A1:A2"/>
    <mergeCell ref="B1:B2"/>
    <mergeCell ref="C1:C2"/>
  </mergeCells>
  <phoneticPr fontId="0" type="noConversion"/>
  <pageMargins left="0.73" right="0.67" top="0.89" bottom="0.6" header="0.32" footer="0.34"/>
  <pageSetup orientation="portrait" r:id="rId1"/>
  <headerFooter alignWithMargins="0">
    <oddHeader>&amp;C&amp;"Times New Roman,Bold"&amp;14 2002 TEXAS COAL PRODUCTION SUMMARY</oddHeader>
    <oddFooter>&amp;R&amp;"Times New Roman,Regular"&amp;D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40"/>
  <sheetViews>
    <sheetView zoomScaleNormal="100" workbookViewId="0">
      <pane xSplit="2" ySplit="3" topLeftCell="C4" activePane="bottomRight" state="frozen"/>
      <selection activeCell="Q2" sqref="Q2:Z2"/>
      <selection pane="topRight" activeCell="Q2" sqref="Q2:Z2"/>
      <selection pane="bottomLeft" activeCell="Q2" sqref="Q2:Z2"/>
      <selection pane="bottomRight" activeCell="Q2" sqref="Q2:Z2"/>
    </sheetView>
  </sheetViews>
  <sheetFormatPr defaultColWidth="9.140625" defaultRowHeight="18" customHeight="1"/>
  <cols>
    <col min="1" max="1" width="16.140625" style="178" customWidth="1"/>
    <col min="2" max="2" width="27.7109375" style="178" customWidth="1"/>
    <col min="3" max="4" width="15.5703125" style="178" customWidth="1"/>
    <col min="5" max="5" width="5.85546875" style="178" hidden="1" customWidth="1"/>
    <col min="6" max="6" width="18.5703125" style="178" customWidth="1"/>
    <col min="7" max="7" width="8.140625" style="178" hidden="1" customWidth="1"/>
    <col min="8" max="8" width="8.5703125" style="178" hidden="1" customWidth="1"/>
    <col min="9" max="9" width="8.140625" style="181" hidden="1" customWidth="1"/>
    <col min="10" max="16384" width="9.140625" style="181"/>
  </cols>
  <sheetData>
    <row r="1" spans="1:9" ht="10.5" customHeight="1" thickBot="1">
      <c r="A1" s="2117"/>
      <c r="B1" s="2118"/>
      <c r="C1" s="2118"/>
      <c r="D1" s="2118"/>
      <c r="E1" s="2118"/>
      <c r="F1" s="2118"/>
    </row>
    <row r="2" spans="1:9" ht="18" customHeight="1" thickTop="1">
      <c r="A2" s="205"/>
      <c r="B2" s="206"/>
      <c r="C2" s="207" t="s">
        <v>62</v>
      </c>
      <c r="D2" s="208" t="s">
        <v>90</v>
      </c>
      <c r="E2" s="209" t="s">
        <v>107</v>
      </c>
      <c r="F2" s="210" t="s">
        <v>91</v>
      </c>
      <c r="G2" s="179" t="s">
        <v>108</v>
      </c>
      <c r="H2" s="180" t="s">
        <v>108</v>
      </c>
      <c r="I2" s="180" t="s">
        <v>108</v>
      </c>
    </row>
    <row r="3" spans="1:9" ht="18" customHeight="1" thickBot="1">
      <c r="A3" s="211" t="s">
        <v>6</v>
      </c>
      <c r="B3" s="223" t="s">
        <v>141</v>
      </c>
      <c r="C3" s="213" t="s">
        <v>92</v>
      </c>
      <c r="D3" s="214" t="s">
        <v>63</v>
      </c>
      <c r="E3" s="215" t="s">
        <v>109</v>
      </c>
      <c r="F3" s="216" t="s">
        <v>93</v>
      </c>
      <c r="G3" s="179">
        <v>1999</v>
      </c>
      <c r="H3" s="180">
        <v>1998</v>
      </c>
      <c r="I3" s="180">
        <v>1998</v>
      </c>
    </row>
    <row r="4" spans="1:9" ht="18" customHeight="1" thickTop="1">
      <c r="A4" s="224"/>
      <c r="B4" s="225"/>
      <c r="C4" s="226"/>
      <c r="D4" s="226"/>
      <c r="E4" s="227"/>
      <c r="F4" s="228"/>
      <c r="G4" s="188"/>
      <c r="H4" s="185"/>
    </row>
    <row r="5" spans="1:9" ht="18" customHeight="1">
      <c r="A5" s="229" t="s">
        <v>110</v>
      </c>
      <c r="B5" s="230"/>
      <c r="C5" s="231"/>
      <c r="D5" s="231"/>
      <c r="E5" s="232"/>
      <c r="F5" s="233"/>
      <c r="G5" s="195"/>
      <c r="H5" s="196"/>
    </row>
    <row r="6" spans="1:9" ht="18" customHeight="1">
      <c r="A6" s="229"/>
      <c r="B6" s="230" t="s">
        <v>125</v>
      </c>
      <c r="C6" s="246">
        <v>5767474</v>
      </c>
      <c r="D6" s="234">
        <v>222.5</v>
      </c>
      <c r="E6" s="235">
        <v>30324</v>
      </c>
      <c r="F6" s="236">
        <f>SUM(D6)*(120)</f>
        <v>26700</v>
      </c>
      <c r="G6" s="200">
        <v>256</v>
      </c>
      <c r="H6" s="201">
        <v>300</v>
      </c>
      <c r="I6" s="202">
        <v>317</v>
      </c>
    </row>
    <row r="7" spans="1:9" ht="18" hidden="1" customHeight="1">
      <c r="A7" s="229" t="s">
        <v>65</v>
      </c>
      <c r="B7" s="230"/>
      <c r="C7" s="246"/>
      <c r="D7" s="234"/>
      <c r="E7" s="235"/>
      <c r="F7" s="236"/>
      <c r="G7" s="200"/>
      <c r="H7" s="201"/>
      <c r="I7" s="202"/>
    </row>
    <row r="8" spans="1:9" ht="18" hidden="1" customHeight="1">
      <c r="A8" s="229"/>
      <c r="B8" s="230" t="s">
        <v>126</v>
      </c>
      <c r="C8" s="237">
        <v>0</v>
      </c>
      <c r="D8" s="234">
        <v>0</v>
      </c>
      <c r="E8" s="235">
        <v>0</v>
      </c>
      <c r="F8" s="236">
        <f>SUM(D8)*(120)</f>
        <v>0</v>
      </c>
      <c r="G8" s="200">
        <v>0</v>
      </c>
      <c r="H8" s="201">
        <v>0</v>
      </c>
      <c r="I8" s="202">
        <v>0</v>
      </c>
    </row>
    <row r="9" spans="1:9" ht="18" customHeight="1">
      <c r="A9" s="229" t="s">
        <v>179</v>
      </c>
      <c r="B9" s="230"/>
      <c r="C9" s="247"/>
      <c r="D9" s="234"/>
      <c r="E9" s="235"/>
      <c r="F9" s="236"/>
      <c r="G9" s="200"/>
      <c r="H9" s="201"/>
      <c r="I9" s="202"/>
    </row>
    <row r="10" spans="1:9" ht="18" customHeight="1">
      <c r="A10" s="229"/>
      <c r="B10" s="230" t="s">
        <v>144</v>
      </c>
      <c r="C10" s="246">
        <v>0</v>
      </c>
      <c r="D10" s="234">
        <v>0</v>
      </c>
      <c r="E10" s="235"/>
      <c r="F10" s="236">
        <f>SUM(D10)*(120)</f>
        <v>0</v>
      </c>
      <c r="G10" s="200"/>
      <c r="H10" s="201"/>
      <c r="I10" s="202"/>
    </row>
    <row r="11" spans="1:9" ht="18" customHeight="1">
      <c r="A11" s="229" t="s">
        <v>67</v>
      </c>
      <c r="B11" s="230"/>
      <c r="C11" s="246"/>
      <c r="D11" s="234"/>
      <c r="E11" s="235"/>
      <c r="F11" s="236"/>
      <c r="G11" s="200"/>
      <c r="H11" s="201"/>
      <c r="I11" s="202"/>
    </row>
    <row r="12" spans="1:9" ht="18" customHeight="1">
      <c r="A12" s="229"/>
      <c r="B12" s="230" t="s">
        <v>127</v>
      </c>
      <c r="C12" s="246">
        <v>192440.33</v>
      </c>
      <c r="D12" s="234">
        <v>44.85</v>
      </c>
      <c r="E12" s="235">
        <v>2912.4</v>
      </c>
      <c r="F12" s="236">
        <f>SUM(D12)*(120)</f>
        <v>5382</v>
      </c>
      <c r="G12" s="200">
        <v>3.1</v>
      </c>
      <c r="H12" s="201">
        <v>44.74</v>
      </c>
      <c r="I12" s="202">
        <v>33</v>
      </c>
    </row>
    <row r="13" spans="1:9" ht="18" customHeight="1">
      <c r="A13" s="229"/>
      <c r="B13" s="230" t="s">
        <v>128</v>
      </c>
      <c r="C13" s="246">
        <v>15989.26</v>
      </c>
      <c r="D13" s="234">
        <v>4.8899999999999997</v>
      </c>
      <c r="E13" s="235">
        <v>0</v>
      </c>
      <c r="F13" s="236">
        <f>SUM(D13)*(120)</f>
        <v>586.79999999999995</v>
      </c>
      <c r="G13" s="200">
        <v>0</v>
      </c>
      <c r="H13" s="201">
        <v>0</v>
      </c>
      <c r="I13" s="202">
        <v>0</v>
      </c>
    </row>
    <row r="14" spans="1:9" ht="18" customHeight="1">
      <c r="A14" s="229"/>
      <c r="B14" s="230" t="s">
        <v>129</v>
      </c>
      <c r="C14" s="246">
        <v>4386.96</v>
      </c>
      <c r="D14" s="234">
        <v>0.51</v>
      </c>
      <c r="E14" s="235">
        <v>10096.799999999999</v>
      </c>
      <c r="F14" s="236">
        <f>SUM(D14)*(120)</f>
        <v>61.2</v>
      </c>
      <c r="G14" s="200">
        <v>15.1</v>
      </c>
      <c r="H14" s="201">
        <v>12.32</v>
      </c>
      <c r="I14" s="202">
        <v>28</v>
      </c>
    </row>
    <row r="15" spans="1:9" ht="18" customHeight="1">
      <c r="A15" s="229" t="s">
        <v>116</v>
      </c>
      <c r="B15" s="230"/>
      <c r="C15" s="246"/>
      <c r="D15" s="234"/>
      <c r="E15" s="235"/>
      <c r="F15" s="236"/>
      <c r="G15" s="200"/>
      <c r="H15" s="201"/>
      <c r="I15" s="202"/>
    </row>
    <row r="16" spans="1:9" ht="18" customHeight="1">
      <c r="A16" s="229"/>
      <c r="B16" s="230" t="s">
        <v>130</v>
      </c>
      <c r="C16" s="246">
        <v>0</v>
      </c>
      <c r="D16" s="234">
        <v>0</v>
      </c>
      <c r="E16" s="235">
        <v>0</v>
      </c>
      <c r="F16" s="236">
        <f>SUM(D16)*(120)</f>
        <v>0</v>
      </c>
      <c r="G16" s="200">
        <v>0</v>
      </c>
      <c r="H16" s="201">
        <v>0</v>
      </c>
      <c r="I16" s="202">
        <v>0</v>
      </c>
    </row>
    <row r="17" spans="1:9" ht="18" customHeight="1">
      <c r="A17" s="229" t="s">
        <v>72</v>
      </c>
      <c r="B17" s="230"/>
      <c r="C17" s="246"/>
      <c r="D17" s="234"/>
      <c r="E17" s="235"/>
      <c r="F17" s="236"/>
      <c r="G17" s="200"/>
      <c r="H17" s="201"/>
      <c r="I17" s="202"/>
    </row>
    <row r="18" spans="1:9" ht="18" customHeight="1">
      <c r="A18" s="229"/>
      <c r="B18" s="230" t="s">
        <v>131</v>
      </c>
      <c r="C18" s="246">
        <v>228371</v>
      </c>
      <c r="D18" s="234">
        <v>21.4</v>
      </c>
      <c r="E18" s="235">
        <v>2546</v>
      </c>
      <c r="F18" s="236">
        <f>SUM(D18)*(120)</f>
        <v>2568</v>
      </c>
      <c r="G18" s="200">
        <v>13.8</v>
      </c>
      <c r="H18" s="201">
        <v>10.7</v>
      </c>
      <c r="I18" s="202">
        <v>27.2</v>
      </c>
    </row>
    <row r="19" spans="1:9" ht="18" customHeight="1">
      <c r="A19" s="229" t="s">
        <v>74</v>
      </c>
      <c r="B19" s="230"/>
      <c r="C19" s="246"/>
      <c r="D19" s="234"/>
      <c r="E19" s="235"/>
      <c r="F19" s="236"/>
      <c r="G19" s="200"/>
      <c r="H19" s="201"/>
      <c r="I19" s="202"/>
    </row>
    <row r="20" spans="1:9" ht="18" customHeight="1">
      <c r="A20" s="229"/>
      <c r="B20" s="230" t="s">
        <v>132</v>
      </c>
      <c r="C20" s="246">
        <v>7386216</v>
      </c>
      <c r="D20" s="234">
        <v>458</v>
      </c>
      <c r="E20" s="235">
        <v>60120</v>
      </c>
      <c r="F20" s="236">
        <f>SUM(D20)*(120)</f>
        <v>54960</v>
      </c>
      <c r="G20" s="200">
        <v>330</v>
      </c>
      <c r="H20" s="201">
        <v>270</v>
      </c>
      <c r="I20" s="202">
        <v>404</v>
      </c>
    </row>
    <row r="21" spans="1:9" ht="18" customHeight="1">
      <c r="A21" s="229" t="s">
        <v>75</v>
      </c>
      <c r="B21" s="230"/>
      <c r="C21" s="246"/>
      <c r="D21" s="234"/>
      <c r="E21" s="235"/>
      <c r="F21" s="236"/>
      <c r="G21" s="200"/>
      <c r="H21" s="201"/>
      <c r="I21" s="202"/>
    </row>
    <row r="22" spans="1:9" ht="18" customHeight="1">
      <c r="A22" s="229"/>
      <c r="B22" s="230" t="s">
        <v>133</v>
      </c>
      <c r="C22" s="246">
        <v>3275214</v>
      </c>
      <c r="D22" s="234">
        <v>373</v>
      </c>
      <c r="E22" s="235">
        <v>43440</v>
      </c>
      <c r="F22" s="236">
        <f>SUM(D22)*(120)</f>
        <v>44760</v>
      </c>
      <c r="G22" s="200">
        <v>441.8</v>
      </c>
      <c r="H22" s="201">
        <v>974.4</v>
      </c>
      <c r="I22" s="202">
        <v>356</v>
      </c>
    </row>
    <row r="23" spans="1:9" ht="18" customHeight="1">
      <c r="A23" s="229" t="s">
        <v>77</v>
      </c>
      <c r="B23" s="230"/>
      <c r="C23" s="246"/>
      <c r="D23" s="234"/>
      <c r="E23" s="235"/>
      <c r="F23" s="236"/>
      <c r="G23" s="200"/>
      <c r="H23" s="201"/>
      <c r="I23" s="202"/>
    </row>
    <row r="24" spans="1:9" ht="18" customHeight="1">
      <c r="A24" s="229"/>
      <c r="B24" s="230" t="s">
        <v>142</v>
      </c>
      <c r="C24" s="246">
        <v>3378562</v>
      </c>
      <c r="D24" s="234">
        <v>270.70999999999998</v>
      </c>
      <c r="E24" s="235">
        <v>24002.5</v>
      </c>
      <c r="F24" s="236">
        <f>SUM(D24)*(120)</f>
        <v>32485.199999999997</v>
      </c>
      <c r="G24" s="200">
        <v>138.4</v>
      </c>
      <c r="H24" s="201">
        <v>214.79</v>
      </c>
      <c r="I24" s="202">
        <v>52.86</v>
      </c>
    </row>
    <row r="25" spans="1:9" ht="18" customHeight="1">
      <c r="A25" s="229" t="s">
        <v>78</v>
      </c>
      <c r="B25" s="230"/>
      <c r="C25" s="246"/>
      <c r="D25" s="234"/>
      <c r="E25" s="235"/>
      <c r="F25" s="236"/>
      <c r="G25" s="200"/>
      <c r="H25" s="201"/>
      <c r="I25" s="202"/>
    </row>
    <row r="26" spans="1:9" ht="18" customHeight="1">
      <c r="A26" s="229"/>
      <c r="B26" s="230" t="s">
        <v>134</v>
      </c>
      <c r="C26" s="246">
        <v>0</v>
      </c>
      <c r="D26" s="234">
        <v>0</v>
      </c>
      <c r="E26" s="235">
        <v>0</v>
      </c>
      <c r="F26" s="236">
        <f>SUM(D26)*(120)</f>
        <v>0</v>
      </c>
      <c r="G26" s="200">
        <v>0</v>
      </c>
      <c r="H26" s="201">
        <v>0</v>
      </c>
      <c r="I26" s="202">
        <v>0</v>
      </c>
    </row>
    <row r="27" spans="1:9" ht="18" customHeight="1">
      <c r="A27" s="229"/>
      <c r="B27" s="230" t="s">
        <v>135</v>
      </c>
      <c r="C27" s="246">
        <v>0</v>
      </c>
      <c r="D27" s="234">
        <v>0</v>
      </c>
      <c r="E27" s="235">
        <v>0</v>
      </c>
      <c r="F27" s="236">
        <f>SUM(D27)*(120)</f>
        <v>0</v>
      </c>
      <c r="G27" s="200">
        <v>0</v>
      </c>
      <c r="H27" s="201">
        <v>0</v>
      </c>
      <c r="I27" s="202">
        <v>0</v>
      </c>
    </row>
    <row r="28" spans="1:9" ht="18" customHeight="1">
      <c r="A28" s="229" t="s">
        <v>146</v>
      </c>
      <c r="B28" s="230"/>
      <c r="C28" s="246"/>
      <c r="D28" s="234"/>
      <c r="E28" s="235">
        <v>214920</v>
      </c>
      <c r="F28" s="236"/>
      <c r="G28" s="200">
        <f>SUM(G29:G33)</f>
        <v>1521</v>
      </c>
      <c r="H28" s="201"/>
      <c r="I28" s="202"/>
    </row>
    <row r="29" spans="1:9" ht="18" customHeight="1">
      <c r="A29" s="229"/>
      <c r="B29" s="230" t="s">
        <v>136</v>
      </c>
      <c r="C29" s="246">
        <v>3960046</v>
      </c>
      <c r="D29" s="234">
        <v>210</v>
      </c>
      <c r="E29" s="235"/>
      <c r="F29" s="236">
        <f>SUM(D29)*(120)</f>
        <v>25200</v>
      </c>
      <c r="G29" s="200">
        <v>489</v>
      </c>
      <c r="H29" s="201">
        <v>342</v>
      </c>
      <c r="I29" s="202">
        <v>125</v>
      </c>
    </row>
    <row r="30" spans="1:9" ht="18" customHeight="1">
      <c r="A30" s="229"/>
      <c r="B30" s="230" t="s">
        <v>143</v>
      </c>
      <c r="C30" s="246">
        <v>6428180</v>
      </c>
      <c r="D30" s="234">
        <v>443</v>
      </c>
      <c r="E30" s="235"/>
      <c r="F30" s="236">
        <f>SUM(D30)*(120)</f>
        <v>53160</v>
      </c>
      <c r="G30" s="200">
        <v>305</v>
      </c>
      <c r="H30" s="201">
        <v>238</v>
      </c>
      <c r="I30" s="202">
        <v>253</v>
      </c>
    </row>
    <row r="31" spans="1:9" ht="18" customHeight="1">
      <c r="A31" s="229"/>
      <c r="B31" s="230" t="s">
        <v>137</v>
      </c>
      <c r="C31" s="246">
        <v>5300218</v>
      </c>
      <c r="D31" s="234">
        <v>452</v>
      </c>
      <c r="E31" s="235"/>
      <c r="F31" s="236">
        <f>SUM(D31)*(120)</f>
        <v>54240</v>
      </c>
      <c r="G31" s="200"/>
      <c r="H31" s="201"/>
      <c r="I31" s="202"/>
    </row>
    <row r="32" spans="1:9" ht="18" customHeight="1">
      <c r="A32" s="229"/>
      <c r="B32" s="230" t="s">
        <v>145</v>
      </c>
      <c r="C32" s="246">
        <v>5385612</v>
      </c>
      <c r="D32" s="234">
        <v>337</v>
      </c>
      <c r="E32" s="235"/>
      <c r="F32" s="236">
        <f>SUM(D32)*(120)</f>
        <v>40440</v>
      </c>
      <c r="G32" s="200">
        <v>507</v>
      </c>
      <c r="H32" s="201">
        <v>691</v>
      </c>
      <c r="I32" s="202">
        <v>528</v>
      </c>
    </row>
    <row r="33" spans="1:9" ht="18" customHeight="1">
      <c r="A33" s="229"/>
      <c r="B33" s="230" t="s">
        <v>138</v>
      </c>
      <c r="C33" s="246">
        <v>2202098</v>
      </c>
      <c r="D33" s="234">
        <v>83</v>
      </c>
      <c r="E33" s="235"/>
      <c r="F33" s="236">
        <f>SUM(D33)*(120)</f>
        <v>9960</v>
      </c>
      <c r="G33" s="200">
        <v>220</v>
      </c>
      <c r="H33" s="201">
        <v>552</v>
      </c>
      <c r="I33" s="202">
        <v>858</v>
      </c>
    </row>
    <row r="34" spans="1:9" ht="18" customHeight="1">
      <c r="A34" s="229" t="s">
        <v>86</v>
      </c>
      <c r="B34" s="230"/>
      <c r="C34" s="234"/>
      <c r="D34" s="234"/>
      <c r="E34" s="235"/>
      <c r="F34" s="236"/>
      <c r="G34" s="200"/>
      <c r="H34" s="201"/>
      <c r="I34" s="202"/>
    </row>
    <row r="35" spans="1:9" ht="18" customHeight="1">
      <c r="A35" s="229"/>
      <c r="B35" s="230" t="s">
        <v>139</v>
      </c>
      <c r="C35" s="238">
        <v>2143975</v>
      </c>
      <c r="D35" s="234">
        <v>80</v>
      </c>
      <c r="E35" s="235">
        <v>7188</v>
      </c>
      <c r="F35" s="236">
        <f>SUM(D35)*(120)</f>
        <v>9600</v>
      </c>
      <c r="G35" s="200">
        <v>37.1</v>
      </c>
      <c r="H35" s="201">
        <v>84.7</v>
      </c>
      <c r="I35" s="202">
        <v>134.4</v>
      </c>
    </row>
    <row r="36" spans="1:9" ht="18" hidden="1" customHeight="1">
      <c r="A36" s="229" t="s">
        <v>88</v>
      </c>
      <c r="B36" s="230"/>
      <c r="C36" s="238"/>
      <c r="D36" s="234"/>
      <c r="E36" s="235"/>
      <c r="F36" s="236"/>
      <c r="G36" s="200"/>
      <c r="H36" s="201"/>
      <c r="I36" s="202"/>
    </row>
    <row r="37" spans="1:9" ht="18" hidden="1" customHeight="1">
      <c r="A37" s="229"/>
      <c r="B37" s="230" t="s">
        <v>140</v>
      </c>
      <c r="C37" s="238">
        <v>0</v>
      </c>
      <c r="D37" s="239">
        <v>0</v>
      </c>
      <c r="E37" s="235"/>
      <c r="F37" s="236">
        <v>0</v>
      </c>
      <c r="G37" s="200"/>
      <c r="H37" s="201"/>
      <c r="I37" s="202"/>
    </row>
    <row r="38" spans="1:9" ht="18" customHeight="1">
      <c r="A38" s="229"/>
      <c r="B38" s="230"/>
      <c r="C38" s="234"/>
      <c r="D38" s="234"/>
      <c r="E38" s="235"/>
      <c r="F38" s="236"/>
      <c r="G38" s="191"/>
      <c r="H38" s="196"/>
    </row>
    <row r="39" spans="1:9" ht="18" customHeight="1" thickBot="1">
      <c r="A39" s="240" t="s">
        <v>44</v>
      </c>
      <c r="B39" s="241"/>
      <c r="C39" s="242">
        <f>SUM(C6:C37)</f>
        <v>45668782.549999997</v>
      </c>
      <c r="D39" s="243">
        <f>SUM(D6:D37)</f>
        <v>3000.86</v>
      </c>
      <c r="E39" s="244">
        <f>SUM(E35,E28,E26:E27,E24,E22,E20,E18,E12:E14,E8,E6)</f>
        <v>395549.7</v>
      </c>
      <c r="F39" s="245">
        <f>SUM(F6:F37)</f>
        <v>360103.2</v>
      </c>
      <c r="G39" s="203">
        <f>SUM(G35,G29:G33,G26:G27,G24,G22,G20,G18,G12:G14,G8,G6)</f>
        <v>2756.3</v>
      </c>
      <c r="H39" s="204">
        <f>SUM(H6:H35)</f>
        <v>3734.6499999999996</v>
      </c>
      <c r="I39" s="204">
        <f>SUM(I35,I29:I33,I26:I27,I24,I22,I20,I18,I12:I14,I8,I6)</f>
        <v>3116.46</v>
      </c>
    </row>
    <row r="40" spans="1:9" ht="18" customHeight="1" thickTop="1"/>
  </sheetData>
  <mergeCells count="1">
    <mergeCell ref="A1:F1"/>
  </mergeCells>
  <phoneticPr fontId="0" type="noConversion"/>
  <pageMargins left="0.75" right="0.75" top="1" bottom="1" header="0.5" footer="0.5"/>
  <pageSetup scale="97" orientation="portrait" r:id="rId1"/>
  <headerFooter alignWithMargins="0">
    <oddHeader>&amp;C&amp;"CG Times,Bold"&amp;14 2001 TEXAS LIGNITE PRODUCTION SUMMARY</oddHeader>
    <oddFooter>&amp;L&amp;"CG Times,Regular"&amp;11&amp;D</oddFooter>
  </headerFooter>
  <colBreaks count="1" manualBreakCount="1">
    <brk id="9" max="39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  <pageSetUpPr autoPageBreaks="0" fitToPage="1"/>
  </sheetPr>
  <dimension ref="A1:I42"/>
  <sheetViews>
    <sheetView showOutlineSymbols="0" workbookViewId="0">
      <selection activeCell="Q2" sqref="Q2:Z2"/>
    </sheetView>
  </sheetViews>
  <sheetFormatPr defaultColWidth="9.140625" defaultRowHeight="18" customHeight="1"/>
  <cols>
    <col min="1" max="1" width="16.140625" style="178" customWidth="1"/>
    <col min="2" max="2" width="27.7109375" style="178" customWidth="1"/>
    <col min="3" max="3" width="15.5703125" style="178" customWidth="1"/>
    <col min="4" max="4" width="14.28515625" style="178" customWidth="1"/>
    <col min="5" max="5" width="5.85546875" style="178" hidden="1" customWidth="1"/>
    <col min="6" max="6" width="18.5703125" style="178" customWidth="1"/>
    <col min="7" max="7" width="8.140625" style="178" hidden="1" customWidth="1"/>
    <col min="8" max="8" width="8.5703125" style="178" hidden="1" customWidth="1"/>
    <col min="9" max="9" width="8.140625" style="181" hidden="1" customWidth="1"/>
    <col min="10" max="16384" width="9.140625" style="181"/>
  </cols>
  <sheetData>
    <row r="1" spans="1:9" ht="40.5" customHeight="1" thickBot="1">
      <c r="A1" s="2117" t="s">
        <v>106</v>
      </c>
      <c r="B1" s="2118"/>
      <c r="C1" s="2118"/>
      <c r="D1" s="2118"/>
      <c r="E1" s="2118"/>
      <c r="F1" s="2118"/>
    </row>
    <row r="2" spans="1:9" ht="18" customHeight="1" thickTop="1">
      <c r="A2" s="205"/>
      <c r="B2" s="206"/>
      <c r="C2" s="207" t="s">
        <v>62</v>
      </c>
      <c r="D2" s="208" t="s">
        <v>90</v>
      </c>
      <c r="E2" s="209" t="s">
        <v>107</v>
      </c>
      <c r="F2" s="210" t="s">
        <v>91</v>
      </c>
      <c r="G2" s="179" t="s">
        <v>108</v>
      </c>
      <c r="H2" s="180" t="s">
        <v>108</v>
      </c>
      <c r="I2" s="180" t="s">
        <v>108</v>
      </c>
    </row>
    <row r="3" spans="1:9" ht="18" customHeight="1" thickBot="1">
      <c r="A3" s="211" t="s">
        <v>6</v>
      </c>
      <c r="B3" s="212" t="s">
        <v>46</v>
      </c>
      <c r="C3" s="213" t="s">
        <v>92</v>
      </c>
      <c r="D3" s="214" t="s">
        <v>63</v>
      </c>
      <c r="E3" s="215" t="s">
        <v>109</v>
      </c>
      <c r="F3" s="216" t="s">
        <v>93</v>
      </c>
      <c r="G3" s="179">
        <v>1999</v>
      </c>
      <c r="H3" s="180">
        <v>1998</v>
      </c>
      <c r="I3" s="180">
        <v>1998</v>
      </c>
    </row>
    <row r="4" spans="1:9" ht="18" customHeight="1" thickTop="1">
      <c r="A4" s="182"/>
      <c r="B4" s="183"/>
      <c r="C4" s="184"/>
      <c r="D4" s="185"/>
      <c r="E4" s="186"/>
      <c r="F4" s="187"/>
      <c r="G4" s="188"/>
      <c r="H4" s="185"/>
    </row>
    <row r="5" spans="1:9" ht="18" customHeight="1">
      <c r="A5" s="189" t="s">
        <v>110</v>
      </c>
      <c r="B5" s="190"/>
      <c r="C5" s="191"/>
      <c r="D5" s="192"/>
      <c r="E5" s="193"/>
      <c r="F5" s="194"/>
      <c r="G5" s="195"/>
      <c r="H5" s="196"/>
    </row>
    <row r="6" spans="1:9" ht="18" customHeight="1">
      <c r="A6" s="189"/>
      <c r="B6" s="190" t="s">
        <v>64</v>
      </c>
      <c r="C6" s="197">
        <v>6411726</v>
      </c>
      <c r="D6" s="192">
        <v>227.37</v>
      </c>
      <c r="E6" s="198">
        <v>30324</v>
      </c>
      <c r="F6" s="199">
        <f>SUM(D6)*(120)</f>
        <v>27284.400000000001</v>
      </c>
      <c r="G6" s="200">
        <v>256</v>
      </c>
      <c r="H6" s="201">
        <v>300</v>
      </c>
      <c r="I6" s="202">
        <v>317</v>
      </c>
    </row>
    <row r="7" spans="1:9" ht="18" customHeight="1">
      <c r="A7" s="189" t="s">
        <v>65</v>
      </c>
      <c r="B7" s="190"/>
      <c r="C7" s="197"/>
      <c r="D7" s="192"/>
      <c r="E7" s="198"/>
      <c r="F7" s="199"/>
      <c r="G7" s="200"/>
      <c r="H7" s="201"/>
      <c r="I7" s="202"/>
    </row>
    <row r="8" spans="1:9" ht="18" customHeight="1">
      <c r="A8" s="189"/>
      <c r="B8" s="190" t="s">
        <v>66</v>
      </c>
      <c r="C8" s="197">
        <v>0</v>
      </c>
      <c r="D8" s="192">
        <v>0</v>
      </c>
      <c r="E8" s="198">
        <v>0</v>
      </c>
      <c r="F8" s="199">
        <f t="shared" ref="F8:F37" si="0">SUM(D8)*(120)</f>
        <v>0</v>
      </c>
      <c r="G8" s="200">
        <v>0</v>
      </c>
      <c r="H8" s="201">
        <v>0</v>
      </c>
      <c r="I8" s="202">
        <v>0</v>
      </c>
    </row>
    <row r="9" spans="1:9" ht="18" customHeight="1">
      <c r="A9" s="189" t="s">
        <v>111</v>
      </c>
      <c r="B9" s="190"/>
      <c r="C9" s="197"/>
      <c r="D9" s="192"/>
      <c r="E9" s="198"/>
      <c r="F9" s="199"/>
      <c r="G9" s="200"/>
      <c r="H9" s="201"/>
      <c r="I9" s="202"/>
    </row>
    <row r="10" spans="1:9" ht="18" customHeight="1">
      <c r="A10" s="189"/>
      <c r="B10" s="190" t="s">
        <v>112</v>
      </c>
      <c r="C10" s="197">
        <v>0</v>
      </c>
      <c r="D10" s="192">
        <v>0</v>
      </c>
      <c r="E10" s="198"/>
      <c r="F10" s="199">
        <f t="shared" si="0"/>
        <v>0</v>
      </c>
      <c r="G10" s="200"/>
      <c r="H10" s="201"/>
      <c r="I10" s="202"/>
    </row>
    <row r="11" spans="1:9" ht="18" customHeight="1">
      <c r="A11" s="189" t="s">
        <v>67</v>
      </c>
      <c r="B11" s="190"/>
      <c r="C11" s="197"/>
      <c r="D11" s="192"/>
      <c r="E11" s="198"/>
      <c r="F11" s="199"/>
      <c r="G11" s="200"/>
      <c r="H11" s="201"/>
      <c r="I11" s="202"/>
    </row>
    <row r="12" spans="1:9" ht="18" customHeight="1">
      <c r="A12" s="189"/>
      <c r="B12" s="190" t="s">
        <v>113</v>
      </c>
      <c r="C12" s="197">
        <v>21279.09</v>
      </c>
      <c r="D12" s="192">
        <v>5.49</v>
      </c>
      <c r="E12" s="198">
        <v>2912.4</v>
      </c>
      <c r="F12" s="199">
        <f t="shared" si="0"/>
        <v>658.80000000000007</v>
      </c>
      <c r="G12" s="200">
        <v>3.1</v>
      </c>
      <c r="H12" s="201">
        <v>44.74</v>
      </c>
      <c r="I12" s="202">
        <v>33</v>
      </c>
    </row>
    <row r="13" spans="1:9" ht="18" customHeight="1">
      <c r="A13" s="189"/>
      <c r="B13" s="190" t="s">
        <v>114</v>
      </c>
      <c r="C13" s="197">
        <v>2050.83</v>
      </c>
      <c r="D13" s="192">
        <v>0.83</v>
      </c>
      <c r="E13" s="198">
        <v>0</v>
      </c>
      <c r="F13" s="199">
        <v>100.83</v>
      </c>
      <c r="G13" s="200">
        <v>0</v>
      </c>
      <c r="H13" s="201">
        <v>0</v>
      </c>
      <c r="I13" s="202">
        <v>0</v>
      </c>
    </row>
    <row r="14" spans="1:9" ht="18" customHeight="1">
      <c r="A14" s="189"/>
      <c r="B14" s="190" t="s">
        <v>115</v>
      </c>
      <c r="C14" s="197">
        <v>203408.96</v>
      </c>
      <c r="D14" s="192">
        <v>63.07</v>
      </c>
      <c r="E14" s="198">
        <v>10096.799999999999</v>
      </c>
      <c r="F14" s="199">
        <f t="shared" si="0"/>
        <v>7568.4</v>
      </c>
      <c r="G14" s="200">
        <v>15.1</v>
      </c>
      <c r="H14" s="201">
        <v>12.32</v>
      </c>
      <c r="I14" s="202">
        <v>28</v>
      </c>
    </row>
    <row r="15" spans="1:9" ht="18" customHeight="1">
      <c r="A15" s="189" t="s">
        <v>116</v>
      </c>
      <c r="B15" s="190"/>
      <c r="C15" s="197"/>
      <c r="D15" s="192"/>
      <c r="E15" s="198"/>
      <c r="F15" s="199"/>
      <c r="G15" s="200"/>
      <c r="H15" s="201"/>
      <c r="I15" s="202"/>
    </row>
    <row r="16" spans="1:9" ht="18" customHeight="1">
      <c r="A16" s="189"/>
      <c r="B16" s="190" t="s">
        <v>71</v>
      </c>
      <c r="C16" s="197">
        <v>0</v>
      </c>
      <c r="D16" s="192">
        <v>0</v>
      </c>
      <c r="E16" s="198">
        <v>0</v>
      </c>
      <c r="F16" s="199">
        <f t="shared" si="0"/>
        <v>0</v>
      </c>
      <c r="G16" s="200">
        <v>0</v>
      </c>
      <c r="H16" s="201">
        <v>0</v>
      </c>
      <c r="I16" s="202">
        <v>0</v>
      </c>
    </row>
    <row r="17" spans="1:9" ht="18" customHeight="1">
      <c r="A17" s="189" t="s">
        <v>72</v>
      </c>
      <c r="B17" s="190"/>
      <c r="C17" s="197"/>
      <c r="D17" s="192"/>
      <c r="E17" s="198"/>
      <c r="F17" s="199"/>
      <c r="G17" s="200"/>
      <c r="H17" s="201"/>
      <c r="I17" s="202"/>
    </row>
    <row r="18" spans="1:9" ht="18" customHeight="1">
      <c r="A18" s="189"/>
      <c r="B18" s="190" t="s">
        <v>117</v>
      </c>
      <c r="C18" s="197">
        <v>269624</v>
      </c>
      <c r="D18" s="192">
        <v>25.1</v>
      </c>
      <c r="E18" s="198">
        <v>2546</v>
      </c>
      <c r="F18" s="199">
        <f t="shared" si="0"/>
        <v>3012</v>
      </c>
      <c r="G18" s="200">
        <v>13.8</v>
      </c>
      <c r="H18" s="201">
        <v>10.7</v>
      </c>
      <c r="I18" s="202">
        <v>27.2</v>
      </c>
    </row>
    <row r="19" spans="1:9" ht="18" customHeight="1">
      <c r="A19" s="189" t="s">
        <v>74</v>
      </c>
      <c r="B19" s="190"/>
      <c r="C19" s="197"/>
      <c r="D19" s="192"/>
      <c r="E19" s="198"/>
      <c r="F19" s="199"/>
      <c r="G19" s="200"/>
      <c r="H19" s="201"/>
      <c r="I19" s="202"/>
    </row>
    <row r="20" spans="1:9" ht="18" customHeight="1">
      <c r="A20" s="189"/>
      <c r="B20" s="190" t="s">
        <v>95</v>
      </c>
      <c r="C20" s="197">
        <v>7987833</v>
      </c>
      <c r="D20" s="192">
        <v>432</v>
      </c>
      <c r="E20" s="198">
        <v>60120</v>
      </c>
      <c r="F20" s="199">
        <f t="shared" si="0"/>
        <v>51840</v>
      </c>
      <c r="G20" s="200">
        <v>330</v>
      </c>
      <c r="H20" s="201">
        <v>270</v>
      </c>
      <c r="I20" s="202">
        <v>404</v>
      </c>
    </row>
    <row r="21" spans="1:9" ht="18" customHeight="1">
      <c r="A21" s="189" t="s">
        <v>75</v>
      </c>
      <c r="B21" s="190"/>
      <c r="C21" s="197"/>
      <c r="D21" s="192"/>
      <c r="E21" s="198"/>
      <c r="F21" s="199"/>
      <c r="G21" s="200"/>
      <c r="H21" s="201"/>
      <c r="I21" s="202"/>
    </row>
    <row r="22" spans="1:9" ht="18" customHeight="1">
      <c r="A22" s="189"/>
      <c r="B22" s="190" t="s">
        <v>76</v>
      </c>
      <c r="C22" s="197">
        <v>3449363</v>
      </c>
      <c r="D22" s="192">
        <v>335.8</v>
      </c>
      <c r="E22" s="198">
        <v>43440</v>
      </c>
      <c r="F22" s="199">
        <f t="shared" si="0"/>
        <v>40296</v>
      </c>
      <c r="G22" s="200">
        <v>441.8</v>
      </c>
      <c r="H22" s="201">
        <v>974.4</v>
      </c>
      <c r="I22" s="202">
        <v>356</v>
      </c>
    </row>
    <row r="23" spans="1:9" ht="18" customHeight="1">
      <c r="A23" s="189" t="s">
        <v>77</v>
      </c>
      <c r="B23" s="190"/>
      <c r="C23" s="197"/>
      <c r="D23" s="192"/>
      <c r="E23" s="198"/>
      <c r="F23" s="199"/>
      <c r="G23" s="200"/>
      <c r="H23" s="201"/>
      <c r="I23" s="202"/>
    </row>
    <row r="24" spans="1:9" ht="18" customHeight="1">
      <c r="A24" s="189"/>
      <c r="B24" s="190" t="s">
        <v>100</v>
      </c>
      <c r="C24" s="197">
        <v>3425541</v>
      </c>
      <c r="D24" s="192">
        <v>265.37</v>
      </c>
      <c r="E24" s="198">
        <v>24002.5</v>
      </c>
      <c r="F24" s="199">
        <f t="shared" si="0"/>
        <v>31844.400000000001</v>
      </c>
      <c r="G24" s="200">
        <v>138.4</v>
      </c>
      <c r="H24" s="201">
        <v>214.79</v>
      </c>
      <c r="I24" s="202">
        <v>52.86</v>
      </c>
    </row>
    <row r="25" spans="1:9" ht="18" customHeight="1">
      <c r="A25" s="189" t="s">
        <v>78</v>
      </c>
      <c r="B25" s="190"/>
      <c r="C25" s="197"/>
      <c r="D25" s="192"/>
      <c r="E25" s="198"/>
      <c r="F25" s="199"/>
      <c r="G25" s="200"/>
      <c r="H25" s="201"/>
      <c r="I25" s="202"/>
    </row>
    <row r="26" spans="1:9" ht="18" customHeight="1">
      <c r="A26" s="189"/>
      <c r="B26" s="190" t="s">
        <v>118</v>
      </c>
      <c r="C26" s="197">
        <v>0</v>
      </c>
      <c r="D26" s="192">
        <v>0</v>
      </c>
      <c r="E26" s="198">
        <v>0</v>
      </c>
      <c r="F26" s="199">
        <f t="shared" si="0"/>
        <v>0</v>
      </c>
      <c r="G26" s="200">
        <v>0</v>
      </c>
      <c r="H26" s="201">
        <v>0</v>
      </c>
      <c r="I26" s="202">
        <v>0</v>
      </c>
    </row>
    <row r="27" spans="1:9" ht="18" customHeight="1">
      <c r="A27" s="189"/>
      <c r="B27" s="190" t="s">
        <v>80</v>
      </c>
      <c r="C27" s="197">
        <v>0</v>
      </c>
      <c r="D27" s="192">
        <v>0</v>
      </c>
      <c r="E27" s="198">
        <v>0</v>
      </c>
      <c r="F27" s="199">
        <f t="shared" si="0"/>
        <v>0</v>
      </c>
      <c r="G27" s="200">
        <v>0</v>
      </c>
      <c r="H27" s="201">
        <v>0</v>
      </c>
      <c r="I27" s="202">
        <v>0</v>
      </c>
    </row>
    <row r="28" spans="1:9" ht="18" customHeight="1">
      <c r="A28" s="189" t="s">
        <v>119</v>
      </c>
      <c r="B28" s="190"/>
      <c r="C28" s="197">
        <v>24037965</v>
      </c>
      <c r="D28" s="191">
        <v>1475</v>
      </c>
      <c r="E28" s="198">
        <v>214920</v>
      </c>
      <c r="F28" s="199">
        <f t="shared" si="0"/>
        <v>177000</v>
      </c>
      <c r="G28" s="200">
        <f>SUM(G29:G34)</f>
        <v>1546</v>
      </c>
      <c r="H28" s="201"/>
      <c r="I28" s="202"/>
    </row>
    <row r="29" spans="1:9" ht="18" customHeight="1">
      <c r="A29" s="189"/>
      <c r="B29" s="190" t="s">
        <v>120</v>
      </c>
      <c r="C29" s="197">
        <v>3020278</v>
      </c>
      <c r="D29" s="192">
        <v>198</v>
      </c>
      <c r="E29" s="198"/>
      <c r="F29" s="199">
        <f t="shared" si="0"/>
        <v>23760</v>
      </c>
      <c r="G29" s="200">
        <v>489</v>
      </c>
      <c r="H29" s="201">
        <v>342</v>
      </c>
      <c r="I29" s="202">
        <v>125</v>
      </c>
    </row>
    <row r="30" spans="1:9" ht="18" customHeight="1">
      <c r="A30" s="189"/>
      <c r="B30" s="190" t="s">
        <v>83</v>
      </c>
      <c r="C30" s="197">
        <v>6099198</v>
      </c>
      <c r="D30" s="192">
        <v>362</v>
      </c>
      <c r="E30" s="198"/>
      <c r="F30" s="199">
        <f t="shared" si="0"/>
        <v>43440</v>
      </c>
      <c r="G30" s="200">
        <v>305</v>
      </c>
      <c r="H30" s="201">
        <v>238</v>
      </c>
      <c r="I30" s="202">
        <v>253</v>
      </c>
    </row>
    <row r="31" spans="1:9" ht="18" customHeight="1">
      <c r="A31" s="189"/>
      <c r="B31" s="190" t="s">
        <v>121</v>
      </c>
      <c r="C31" s="197">
        <v>3372255</v>
      </c>
      <c r="D31" s="192">
        <v>252</v>
      </c>
      <c r="E31" s="198"/>
      <c r="F31" s="199">
        <f t="shared" si="0"/>
        <v>30240</v>
      </c>
      <c r="G31" s="200"/>
      <c r="H31" s="201"/>
      <c r="I31" s="202"/>
    </row>
    <row r="32" spans="1:9" ht="18" customHeight="1">
      <c r="A32" s="189"/>
      <c r="B32" s="190" t="s">
        <v>122</v>
      </c>
      <c r="C32" s="197">
        <v>3509898</v>
      </c>
      <c r="D32" s="192">
        <v>229</v>
      </c>
      <c r="E32" s="198"/>
      <c r="F32" s="199">
        <f t="shared" si="0"/>
        <v>27480</v>
      </c>
      <c r="G32" s="200">
        <v>507</v>
      </c>
      <c r="H32" s="201">
        <v>691</v>
      </c>
      <c r="I32" s="202">
        <v>528</v>
      </c>
    </row>
    <row r="33" spans="1:9" ht="18" customHeight="1">
      <c r="A33" s="189"/>
      <c r="B33" s="190" t="s">
        <v>123</v>
      </c>
      <c r="C33" s="197">
        <v>3328767</v>
      </c>
      <c r="D33" s="192">
        <v>167</v>
      </c>
      <c r="E33" s="198"/>
      <c r="F33" s="199">
        <f t="shared" si="0"/>
        <v>20040</v>
      </c>
      <c r="G33" s="200">
        <v>220</v>
      </c>
      <c r="H33" s="201">
        <v>552</v>
      </c>
      <c r="I33" s="202">
        <v>858</v>
      </c>
    </row>
    <row r="34" spans="1:9" ht="18" customHeight="1">
      <c r="A34" s="189"/>
      <c r="B34" s="190" t="s">
        <v>85</v>
      </c>
      <c r="C34" s="197">
        <v>2121551</v>
      </c>
      <c r="D34" s="192">
        <v>81</v>
      </c>
      <c r="E34" s="198"/>
      <c r="F34" s="199">
        <f t="shared" si="0"/>
        <v>9720</v>
      </c>
      <c r="G34" s="200">
        <v>25</v>
      </c>
      <c r="H34" s="201">
        <v>38</v>
      </c>
      <c r="I34" s="202">
        <v>103</v>
      </c>
    </row>
    <row r="35" spans="1:9" ht="18" customHeight="1">
      <c r="A35" s="189"/>
      <c r="B35" s="190" t="s">
        <v>124</v>
      </c>
      <c r="C35" s="197">
        <v>2586018</v>
      </c>
      <c r="D35" s="192">
        <v>186</v>
      </c>
      <c r="E35" s="198"/>
      <c r="F35" s="199">
        <f t="shared" si="0"/>
        <v>22320</v>
      </c>
      <c r="G35" s="200"/>
      <c r="H35" s="201"/>
      <c r="I35" s="202"/>
    </row>
    <row r="36" spans="1:9" ht="18" customHeight="1">
      <c r="A36" s="189" t="s">
        <v>86</v>
      </c>
      <c r="B36" s="190"/>
      <c r="C36" s="197"/>
      <c r="D36" s="192"/>
      <c r="E36" s="198"/>
      <c r="F36" s="199"/>
      <c r="G36" s="200"/>
      <c r="H36" s="201"/>
      <c r="I36" s="202"/>
    </row>
    <row r="37" spans="1:9" ht="18" customHeight="1">
      <c r="A37" s="189"/>
      <c r="B37" s="190" t="s">
        <v>87</v>
      </c>
      <c r="C37" s="197">
        <v>1635188</v>
      </c>
      <c r="D37" s="192">
        <v>82.1</v>
      </c>
      <c r="E37" s="198">
        <v>7188</v>
      </c>
      <c r="F37" s="199">
        <f t="shared" si="0"/>
        <v>9852</v>
      </c>
      <c r="G37" s="200">
        <v>37.1</v>
      </c>
      <c r="H37" s="201">
        <v>84.7</v>
      </c>
      <c r="I37" s="202">
        <v>134.4</v>
      </c>
    </row>
    <row r="38" spans="1:9" ht="18" customHeight="1">
      <c r="A38" s="189" t="s">
        <v>88</v>
      </c>
      <c r="B38" s="190"/>
      <c r="C38" s="197"/>
      <c r="D38" s="192"/>
      <c r="E38" s="198"/>
      <c r="F38" s="199"/>
      <c r="G38" s="200"/>
      <c r="H38" s="201"/>
      <c r="I38" s="202"/>
    </row>
    <row r="39" spans="1:9" ht="18" customHeight="1">
      <c r="A39" s="189"/>
      <c r="B39" s="190" t="s">
        <v>89</v>
      </c>
      <c r="C39" s="197">
        <v>0</v>
      </c>
      <c r="D39" s="192">
        <v>0</v>
      </c>
      <c r="E39" s="198"/>
      <c r="F39" s="199">
        <v>0</v>
      </c>
      <c r="G39" s="200"/>
      <c r="H39" s="201"/>
      <c r="I39" s="202"/>
    </row>
    <row r="40" spans="1:9" ht="18" customHeight="1">
      <c r="A40" s="189"/>
      <c r="B40" s="190"/>
      <c r="C40" s="197"/>
      <c r="D40" s="192"/>
      <c r="E40" s="198"/>
      <c r="F40" s="199"/>
      <c r="G40" s="191"/>
      <c r="H40" s="196"/>
    </row>
    <row r="41" spans="1:9" ht="18" customHeight="1" thickBot="1">
      <c r="A41" s="217" t="s">
        <v>44</v>
      </c>
      <c r="B41" s="218"/>
      <c r="C41" s="219">
        <f>SUM(C6:C27, C29:C37)</f>
        <v>47443978.879999995</v>
      </c>
      <c r="D41" s="220">
        <f>SUM(D6:D27, D29:D37)</f>
        <v>2912.13</v>
      </c>
      <c r="E41" s="221">
        <f>SUM(E37,E28,E26:E27,E24,E22,E20,E18,E12:E14,E8,E6)</f>
        <v>395549.7</v>
      </c>
      <c r="F41" s="222">
        <f>SUM(F6:F27, F29:F37)</f>
        <v>349456.82999999996</v>
      </c>
      <c r="G41" s="203">
        <f>SUM(G37,G29:G34,G26:G27,G24,G22,G20,G18,G12:G14,G8,G6)</f>
        <v>2781.3</v>
      </c>
      <c r="H41" s="204">
        <f>SUM(H6:H37)</f>
        <v>3772.6499999999996</v>
      </c>
      <c r="I41" s="204">
        <f>SUM(I37,I29:I34,I26:I27,I24,I22,I20,I18,I12:I14,I8,I6)</f>
        <v>3219.46</v>
      </c>
    </row>
    <row r="42" spans="1:9" ht="18" customHeight="1" thickTop="1"/>
  </sheetData>
  <mergeCells count="1">
    <mergeCell ref="A1:F1"/>
  </mergeCells>
  <phoneticPr fontId="0" type="noConversion"/>
  <printOptions horizontalCentered="1"/>
  <pageMargins left="0.4" right="0.4" top="2.0291666666666699" bottom="0.33333333333333298" header="0.91944444444444395" footer="0.33333333333333298"/>
  <pageSetup paperSize="5" scale="73" orientation="landscape" horizontalDpi="300" copies="16" r:id="rId1"/>
  <headerFooter alignWithMargins="0">
    <oddHeader xml:space="preserve">&amp;L&amp;"Arial,Bold"&amp;16 
&amp;C&amp;"Arial,Bold"&amp;16 RAILROAD COMMISSION OF TEXAS
SUMMARY OF ANNUAL COAL PRODUCTION&amp;R&amp;"Arial,Bold"&amp;16 
</oddHeader>
    <oddFooter>&amp;L&amp;"Arial,Bold"&amp;16 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C76"/>
  <sheetViews>
    <sheetView zoomScaleNormal="100" workbookViewId="0">
      <pane xSplit="2" ySplit="6" topLeftCell="Q7" activePane="bottomRight" state="frozen"/>
      <selection pane="topRight" activeCell="C1" sqref="C1"/>
      <selection pane="bottomLeft" activeCell="A7" sqref="A7"/>
      <selection pane="bottomRight" activeCell="Q2" sqref="Q2:Z2"/>
    </sheetView>
  </sheetViews>
  <sheetFormatPr defaultRowHeight="12.75"/>
  <cols>
    <col min="1" max="1" width="8.42578125" style="81" customWidth="1"/>
    <col min="2" max="2" width="20.5703125" style="81" customWidth="1"/>
    <col min="3" max="11" width="10.28515625" hidden="1" customWidth="1"/>
    <col min="12" max="12" width="11" hidden="1" customWidth="1"/>
    <col min="13" max="13" width="10.7109375" hidden="1" customWidth="1"/>
    <col min="14" max="14" width="12.5703125" hidden="1" customWidth="1"/>
    <col min="15" max="16" width="10.28515625" hidden="1" customWidth="1"/>
    <col min="17" max="17" width="11.7109375" customWidth="1"/>
    <col min="18" max="18" width="10.5703125" customWidth="1"/>
    <col min="19" max="20" width="10.140625" customWidth="1"/>
    <col min="21" max="21" width="10.85546875" customWidth="1"/>
    <col min="22" max="22" width="9.85546875" customWidth="1"/>
    <col min="23" max="23" width="9.42578125" customWidth="1"/>
    <col min="24" max="24" width="10.42578125" customWidth="1"/>
    <col min="25" max="25" width="10.85546875" customWidth="1"/>
    <col min="26" max="26" width="10.42578125" customWidth="1"/>
    <col min="27" max="27" width="11.140625" customWidth="1"/>
    <col min="28" max="28" width="13.7109375" customWidth="1"/>
    <col min="29" max="29" width="10.85546875" customWidth="1"/>
    <col min="30" max="30" width="11" style="1" hidden="1" customWidth="1"/>
    <col min="34" max="34" width="15.140625" customWidth="1"/>
    <col min="35" max="35" width="35.28515625" customWidth="1"/>
    <col min="36" max="36" width="9" hidden="1" customWidth="1"/>
    <col min="37" max="40" width="9.140625" hidden="1" customWidth="1"/>
    <col min="41" max="41" width="2.5703125" hidden="1" customWidth="1"/>
    <col min="42" max="49" width="9.140625" hidden="1" customWidth="1"/>
    <col min="50" max="52" width="16.28515625" customWidth="1"/>
    <col min="53" max="53" width="9.140625" style="3"/>
    <col min="54" max="54" width="11.7109375" customWidth="1"/>
    <col min="55" max="55" width="10.7109375" bestFit="1" customWidth="1"/>
  </cols>
  <sheetData>
    <row r="1" spans="1:55" ht="18.75" hidden="1">
      <c r="U1" s="5"/>
    </row>
    <row r="2" spans="1:55" ht="13.5" customHeight="1" thickBot="1">
      <c r="A2" s="97"/>
      <c r="B2" s="98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2119"/>
      <c r="R2" s="2119"/>
      <c r="S2" s="2119"/>
      <c r="T2" s="2119"/>
      <c r="U2" s="2119"/>
      <c r="V2" s="2119"/>
      <c r="W2" s="2119"/>
      <c r="X2" s="2119"/>
      <c r="Y2" s="2119"/>
      <c r="Z2" s="2119"/>
      <c r="AA2" s="6"/>
      <c r="AB2" s="8"/>
      <c r="AC2" s="8"/>
      <c r="AD2" s="9"/>
    </row>
    <row r="3" spans="1:55" s="10" customFormat="1" ht="5.25" customHeight="1" thickTop="1">
      <c r="A3" s="99"/>
      <c r="B3" s="100"/>
      <c r="C3" s="24"/>
      <c r="D3" s="17"/>
      <c r="E3" s="17"/>
      <c r="F3" s="17"/>
      <c r="G3" s="17"/>
      <c r="H3" s="17"/>
      <c r="I3" s="17"/>
      <c r="J3" s="17"/>
      <c r="K3" s="17"/>
      <c r="L3" s="17"/>
      <c r="M3" s="17"/>
      <c r="N3" s="124"/>
      <c r="O3" s="30"/>
      <c r="P3" s="17"/>
      <c r="Q3" s="17"/>
      <c r="R3" s="17"/>
      <c r="S3" s="17"/>
      <c r="T3" s="17"/>
      <c r="U3" s="17"/>
      <c r="V3" s="17"/>
      <c r="W3" s="17"/>
      <c r="X3" s="17"/>
      <c r="Y3" s="17"/>
      <c r="Z3" s="45"/>
      <c r="AA3" s="149"/>
      <c r="AB3" s="134"/>
      <c r="AC3" s="138"/>
      <c r="AD3" s="118"/>
      <c r="AH3" s="57"/>
      <c r="AI3" s="58"/>
      <c r="AJ3" s="30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45"/>
      <c r="AX3" s="47"/>
      <c r="AY3" s="47"/>
      <c r="AZ3" s="48"/>
      <c r="BA3" s="11"/>
    </row>
    <row r="4" spans="1:55" s="10" customFormat="1">
      <c r="A4" s="101"/>
      <c r="B4" s="102"/>
      <c r="C4" s="25" t="s">
        <v>5</v>
      </c>
      <c r="D4" s="18" t="s">
        <v>5</v>
      </c>
      <c r="E4" s="18" t="s">
        <v>5</v>
      </c>
      <c r="F4" s="18" t="s">
        <v>5</v>
      </c>
      <c r="G4" s="18" t="s">
        <v>5</v>
      </c>
      <c r="H4" s="18" t="s">
        <v>5</v>
      </c>
      <c r="I4" s="18" t="s">
        <v>5</v>
      </c>
      <c r="J4" s="18" t="s">
        <v>5</v>
      </c>
      <c r="K4" s="18" t="s">
        <v>5</v>
      </c>
      <c r="L4" s="18" t="s">
        <v>5</v>
      </c>
      <c r="M4" s="18" t="s">
        <v>5</v>
      </c>
      <c r="N4" s="125" t="s">
        <v>5</v>
      </c>
      <c r="O4" s="121" t="s">
        <v>5</v>
      </c>
      <c r="P4" s="18"/>
      <c r="Q4" s="19"/>
      <c r="R4" s="18"/>
      <c r="S4" s="18"/>
      <c r="T4" s="18"/>
      <c r="U4" s="18"/>
      <c r="V4" s="18"/>
      <c r="W4" s="18"/>
      <c r="X4" s="18"/>
      <c r="Y4" s="18"/>
      <c r="Z4" s="131"/>
      <c r="AA4" s="150"/>
      <c r="AB4" s="157" t="s">
        <v>45</v>
      </c>
      <c r="AC4" s="139" t="s">
        <v>102</v>
      </c>
      <c r="AD4" s="119" t="s">
        <v>97</v>
      </c>
      <c r="AH4" s="59"/>
      <c r="AI4" s="60"/>
      <c r="AJ4" s="31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46"/>
      <c r="AX4" s="49">
        <v>1998</v>
      </c>
      <c r="AY4" s="49">
        <v>1998</v>
      </c>
      <c r="AZ4" s="50">
        <v>1998</v>
      </c>
      <c r="BA4" s="4" t="s">
        <v>98</v>
      </c>
      <c r="BC4" s="10" t="s">
        <v>99</v>
      </c>
    </row>
    <row r="5" spans="1:55" s="10" customFormat="1" ht="13.5" customHeight="1">
      <c r="A5" s="103" t="s">
        <v>6</v>
      </c>
      <c r="B5" s="104" t="s">
        <v>46</v>
      </c>
      <c r="C5" s="25" t="s">
        <v>47</v>
      </c>
      <c r="D5" s="18" t="s">
        <v>48</v>
      </c>
      <c r="E5" s="18" t="s">
        <v>49</v>
      </c>
      <c r="F5" s="18" t="s">
        <v>50</v>
      </c>
      <c r="G5" s="18" t="s">
        <v>51</v>
      </c>
      <c r="H5" s="18" t="s">
        <v>52</v>
      </c>
      <c r="I5" s="18" t="s">
        <v>53</v>
      </c>
      <c r="J5" s="18" t="s">
        <v>54</v>
      </c>
      <c r="K5" s="18" t="s">
        <v>55</v>
      </c>
      <c r="L5" s="18" t="s">
        <v>56</v>
      </c>
      <c r="M5" s="18" t="s">
        <v>57</v>
      </c>
      <c r="N5" s="125" t="s">
        <v>58</v>
      </c>
      <c r="O5" s="121" t="s">
        <v>59</v>
      </c>
      <c r="P5" s="18" t="s">
        <v>60</v>
      </c>
      <c r="Q5" s="18" t="s">
        <v>61</v>
      </c>
      <c r="R5" s="18">
        <v>1990</v>
      </c>
      <c r="S5" s="18">
        <v>1991</v>
      </c>
      <c r="T5" s="18">
        <v>1992</v>
      </c>
      <c r="U5" s="20">
        <v>1993</v>
      </c>
      <c r="V5" s="20">
        <v>1994</v>
      </c>
      <c r="W5" s="20">
        <v>1995</v>
      </c>
      <c r="X5" s="20">
        <v>1996</v>
      </c>
      <c r="Y5" s="20">
        <v>1997</v>
      </c>
      <c r="Z5" s="143">
        <v>1998</v>
      </c>
      <c r="AA5" s="151">
        <v>1999</v>
      </c>
      <c r="AB5" s="157" t="s">
        <v>62</v>
      </c>
      <c r="AC5" s="139" t="s">
        <v>63</v>
      </c>
      <c r="AD5" s="119" t="s">
        <v>63</v>
      </c>
      <c r="AH5" s="61" t="s">
        <v>6</v>
      </c>
      <c r="AI5" s="62" t="s">
        <v>46</v>
      </c>
      <c r="AJ5" s="31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46"/>
      <c r="AX5" s="51" t="s">
        <v>62</v>
      </c>
      <c r="AY5" s="52" t="s">
        <v>90</v>
      </c>
      <c r="AZ5" s="53" t="s">
        <v>91</v>
      </c>
      <c r="BA5" s="11"/>
    </row>
    <row r="6" spans="1:55" s="10" customFormat="1" ht="13.5" customHeight="1" thickBot="1">
      <c r="A6" s="105"/>
      <c r="B6" s="106"/>
      <c r="C6" s="26"/>
      <c r="D6" s="23"/>
      <c r="E6" s="23"/>
      <c r="F6" s="23"/>
      <c r="G6" s="23"/>
      <c r="H6" s="23"/>
      <c r="I6" s="23"/>
      <c r="J6" s="23"/>
      <c r="K6" s="23"/>
      <c r="L6" s="23"/>
      <c r="M6" s="23"/>
      <c r="N6" s="126"/>
      <c r="O6" s="122"/>
      <c r="P6" s="23"/>
      <c r="Q6" s="23"/>
      <c r="R6" s="23"/>
      <c r="S6" s="21"/>
      <c r="T6" s="23"/>
      <c r="U6" s="22"/>
      <c r="V6" s="22"/>
      <c r="W6" s="22"/>
      <c r="X6" s="22"/>
      <c r="Y6" s="22"/>
      <c r="Z6" s="132"/>
      <c r="AA6" s="152"/>
      <c r="AB6" s="158"/>
      <c r="AC6" s="140"/>
      <c r="AD6" s="120"/>
      <c r="AH6" s="63"/>
      <c r="AI6" s="64"/>
      <c r="AJ6" s="31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46"/>
      <c r="AX6" s="54" t="s">
        <v>92</v>
      </c>
      <c r="AY6" s="55" t="s">
        <v>63</v>
      </c>
      <c r="AZ6" s="56" t="s">
        <v>93</v>
      </c>
      <c r="BA6" s="11"/>
    </row>
    <row r="7" spans="1:55" s="10" customFormat="1" ht="14.25" customHeight="1">
      <c r="A7" s="107"/>
      <c r="B7" s="108"/>
      <c r="C7" s="27"/>
      <c r="D7" s="16"/>
      <c r="E7" s="16"/>
      <c r="F7" s="16"/>
      <c r="G7" s="16"/>
      <c r="H7" s="16"/>
      <c r="I7" s="16"/>
      <c r="J7" s="16"/>
      <c r="K7" s="16"/>
      <c r="L7" s="16"/>
      <c r="M7" s="16"/>
      <c r="N7" s="127"/>
      <c r="O7" s="123"/>
      <c r="P7" s="16"/>
      <c r="Q7" s="16"/>
      <c r="R7" s="16"/>
      <c r="S7" s="14"/>
      <c r="T7" s="16"/>
      <c r="U7" s="15"/>
      <c r="V7" s="15"/>
      <c r="W7" s="15"/>
      <c r="X7" s="15"/>
      <c r="Y7" s="15"/>
      <c r="Z7" s="144"/>
      <c r="AA7" s="153"/>
      <c r="AB7" s="159"/>
      <c r="AC7" s="141"/>
      <c r="AD7" s="29"/>
      <c r="AH7" s="41"/>
      <c r="AI7" s="42"/>
      <c r="AJ7" s="68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32"/>
      <c r="AY7" s="33"/>
      <c r="AZ7" s="34"/>
      <c r="BA7" s="11"/>
    </row>
    <row r="8" spans="1:55" s="10" customFormat="1" ht="11.45" customHeight="1">
      <c r="A8" s="109" t="s">
        <v>15</v>
      </c>
      <c r="B8" s="110"/>
      <c r="C8" s="111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28"/>
      <c r="O8" s="111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45"/>
      <c r="AA8" s="153"/>
      <c r="AB8" s="160"/>
      <c r="AC8" s="142"/>
      <c r="AD8" s="113"/>
      <c r="AH8" s="43" t="s">
        <v>15</v>
      </c>
      <c r="AI8" s="44"/>
      <c r="AJ8" s="67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35"/>
      <c r="AY8" s="36"/>
      <c r="AZ8" s="37"/>
      <c r="BA8" s="11"/>
    </row>
    <row r="9" spans="1:55" s="10" customFormat="1" ht="11.45" customHeight="1">
      <c r="A9" s="109"/>
      <c r="B9" s="110" t="s">
        <v>64</v>
      </c>
      <c r="C9" s="111">
        <v>2065100</v>
      </c>
      <c r="D9" s="112">
        <v>1979691</v>
      </c>
      <c r="E9" s="112">
        <v>2008198</v>
      </c>
      <c r="F9" s="112">
        <v>1813739</v>
      </c>
      <c r="G9" s="112">
        <v>2137776</v>
      </c>
      <c r="H9" s="112">
        <v>3414742</v>
      </c>
      <c r="I9" s="112">
        <v>4273812</v>
      </c>
      <c r="J9" s="112">
        <v>4786000</v>
      </c>
      <c r="K9" s="112">
        <v>5125628</v>
      </c>
      <c r="L9" s="112">
        <v>6227660</v>
      </c>
      <c r="M9" s="112">
        <v>5639903</v>
      </c>
      <c r="N9" s="128">
        <v>5556146</v>
      </c>
      <c r="O9" s="111">
        <v>5598183</v>
      </c>
      <c r="P9" s="112">
        <v>5828816</v>
      </c>
      <c r="Q9" s="112">
        <f>SUM(C9:P9)</f>
        <v>56455394</v>
      </c>
      <c r="R9" s="112">
        <v>6469352</v>
      </c>
      <c r="S9" s="112">
        <v>5673616</v>
      </c>
      <c r="T9" s="112">
        <v>5719038</v>
      </c>
      <c r="U9" s="112">
        <v>6904473</v>
      </c>
      <c r="V9" s="112">
        <v>6029900</v>
      </c>
      <c r="W9" s="112">
        <v>5674739</v>
      </c>
      <c r="X9" s="112">
        <v>5727821</v>
      </c>
      <c r="Y9" s="112">
        <v>6370027</v>
      </c>
      <c r="Z9" s="146">
        <v>5911518</v>
      </c>
      <c r="AA9" s="154">
        <v>6352733</v>
      </c>
      <c r="AB9" s="160">
        <f>SUM(Q9:AA9)</f>
        <v>117288611</v>
      </c>
      <c r="AC9" s="136">
        <v>252.7</v>
      </c>
      <c r="AD9" s="114">
        <v>265</v>
      </c>
      <c r="AH9" s="43"/>
      <c r="AI9" s="44" t="s">
        <v>64</v>
      </c>
      <c r="AJ9" s="67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38">
        <f>Z9</f>
        <v>5911518</v>
      </c>
      <c r="AY9" s="39">
        <f>AD9</f>
        <v>265</v>
      </c>
      <c r="AZ9" s="40">
        <f t="shared" ref="AZ9:AZ15" si="0">120*AY9</f>
        <v>31800</v>
      </c>
      <c r="BA9" s="11">
        <f>AZ9/AX9</f>
        <v>5.3793289642355821E-3</v>
      </c>
    </row>
    <row r="10" spans="1:55" s="10" customFormat="1" ht="11.45" customHeight="1">
      <c r="A10" s="109" t="s">
        <v>65</v>
      </c>
      <c r="B10" s="110"/>
      <c r="C10" s="111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28"/>
      <c r="O10" s="111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46"/>
      <c r="AA10" s="154"/>
      <c r="AB10" s="160"/>
      <c r="AC10" s="136"/>
      <c r="AD10" s="114"/>
      <c r="AH10" s="43" t="s">
        <v>65</v>
      </c>
      <c r="AI10" s="44"/>
      <c r="AJ10" s="67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38"/>
      <c r="AY10" s="39"/>
      <c r="AZ10" s="40"/>
      <c r="BA10" s="11"/>
    </row>
    <row r="11" spans="1:55" s="10" customFormat="1" ht="11.45" customHeight="1">
      <c r="A11" s="109"/>
      <c r="B11" s="110" t="s">
        <v>66</v>
      </c>
      <c r="C11" s="111">
        <v>0</v>
      </c>
      <c r="D11" s="112">
        <v>0</v>
      </c>
      <c r="E11" s="112">
        <v>0</v>
      </c>
      <c r="F11" s="112">
        <v>46</v>
      </c>
      <c r="G11" s="112">
        <v>35000</v>
      </c>
      <c r="H11" s="112">
        <v>76119</v>
      </c>
      <c r="I11" s="112">
        <v>115000</v>
      </c>
      <c r="J11" s="112">
        <v>40596</v>
      </c>
      <c r="K11" s="112">
        <v>24483</v>
      </c>
      <c r="L11" s="112">
        <v>63035</v>
      </c>
      <c r="M11" s="112">
        <v>54790</v>
      </c>
      <c r="N11" s="128">
        <v>19863</v>
      </c>
      <c r="O11" s="111">
        <v>0</v>
      </c>
      <c r="P11" s="112">
        <v>0</v>
      </c>
      <c r="Q11" s="112">
        <f t="shared" ref="Q11:Q25" si="1">SUM(C11:P11)</f>
        <v>428932</v>
      </c>
      <c r="R11" s="112">
        <v>0</v>
      </c>
      <c r="S11" s="112">
        <v>0</v>
      </c>
      <c r="T11" s="112">
        <v>0</v>
      </c>
      <c r="U11" s="112">
        <v>0</v>
      </c>
      <c r="V11" s="112">
        <v>0</v>
      </c>
      <c r="W11" s="112">
        <v>0</v>
      </c>
      <c r="X11" s="112">
        <v>0</v>
      </c>
      <c r="Y11" s="112">
        <v>0</v>
      </c>
      <c r="Z11" s="146">
        <v>0</v>
      </c>
      <c r="AA11" s="154">
        <v>0</v>
      </c>
      <c r="AB11" s="160">
        <f t="shared" ref="AB11:AB38" si="2">SUM(Q11:AA11)</f>
        <v>428932</v>
      </c>
      <c r="AC11" s="136">
        <v>0</v>
      </c>
      <c r="AD11" s="114">
        <v>0</v>
      </c>
      <c r="AH11" s="43"/>
      <c r="AI11" s="44" t="s">
        <v>66</v>
      </c>
      <c r="AJ11" s="67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38">
        <f t="shared" ref="AX11:AX38" si="3">Z11</f>
        <v>0</v>
      </c>
      <c r="AY11" s="39">
        <f t="shared" ref="AY11:AY38" si="4">AD11</f>
        <v>0</v>
      </c>
      <c r="AZ11" s="40">
        <f t="shared" si="0"/>
        <v>0</v>
      </c>
      <c r="BA11" s="11"/>
    </row>
    <row r="12" spans="1:55" s="10" customFormat="1" ht="11.45" customHeight="1">
      <c r="A12" s="109" t="s">
        <v>67</v>
      </c>
      <c r="B12" s="110"/>
      <c r="C12" s="111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28"/>
      <c r="O12" s="111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46"/>
      <c r="AA12" s="154"/>
      <c r="AB12" s="160"/>
      <c r="AC12" s="136"/>
      <c r="AD12" s="114"/>
      <c r="AH12" s="43" t="s">
        <v>67</v>
      </c>
      <c r="AI12" s="44"/>
      <c r="AJ12" s="67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38"/>
      <c r="AY12" s="39"/>
      <c r="AZ12" s="40"/>
      <c r="BA12" s="11"/>
      <c r="BB12" s="12">
        <f>SUM(AZ13:AZ15)</f>
        <v>13509.6</v>
      </c>
    </row>
    <row r="13" spans="1:55" s="10" customFormat="1" ht="11.45" customHeight="1">
      <c r="A13" s="109"/>
      <c r="B13" s="110" t="s">
        <v>68</v>
      </c>
      <c r="C13" s="111">
        <v>0</v>
      </c>
      <c r="D13" s="112">
        <v>0</v>
      </c>
      <c r="E13" s="112">
        <v>0</v>
      </c>
      <c r="F13" s="112">
        <v>76677</v>
      </c>
      <c r="G13" s="112">
        <v>159604</v>
      </c>
      <c r="H13" s="112">
        <v>276633</v>
      </c>
      <c r="I13" s="112">
        <v>211111</v>
      </c>
      <c r="J13" s="112">
        <v>251406</v>
      </c>
      <c r="K13" s="112">
        <v>291375</v>
      </c>
      <c r="L13" s="112">
        <v>289966</v>
      </c>
      <c r="M13" s="112">
        <v>238220</v>
      </c>
      <c r="N13" s="128">
        <v>266833</v>
      </c>
      <c r="O13" s="111">
        <v>263467</v>
      </c>
      <c r="P13" s="112">
        <v>227024</v>
      </c>
      <c r="Q13" s="112">
        <f t="shared" si="1"/>
        <v>2552316</v>
      </c>
      <c r="R13" s="112">
        <v>337621</v>
      </c>
      <c r="S13" s="112">
        <v>238704</v>
      </c>
      <c r="T13" s="112">
        <v>324325</v>
      </c>
      <c r="U13" s="112">
        <v>354034</v>
      </c>
      <c r="V13" s="112">
        <v>253187</v>
      </c>
      <c r="W13" s="112">
        <v>298110</v>
      </c>
      <c r="X13" s="112">
        <v>357810</v>
      </c>
      <c r="Y13" s="112">
        <v>208003.87</v>
      </c>
      <c r="Z13" s="146">
        <v>137528.38</v>
      </c>
      <c r="AA13" s="154">
        <v>62917.15</v>
      </c>
      <c r="AB13" s="160">
        <f t="shared" si="2"/>
        <v>5124556.4000000004</v>
      </c>
      <c r="AC13" s="136">
        <v>24.27</v>
      </c>
      <c r="AD13" s="115">
        <v>49.53</v>
      </c>
      <c r="AH13" s="43"/>
      <c r="AI13" s="44" t="s">
        <v>68</v>
      </c>
      <c r="AJ13" s="67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38">
        <f t="shared" si="3"/>
        <v>137528.38</v>
      </c>
      <c r="AY13" s="39">
        <f t="shared" si="4"/>
        <v>49.53</v>
      </c>
      <c r="AZ13" s="40">
        <f t="shared" si="0"/>
        <v>5943.6</v>
      </c>
      <c r="BA13" s="11">
        <f>AZ13/AX13</f>
        <v>4.3217261775351387E-2</v>
      </c>
      <c r="BC13" s="11"/>
    </row>
    <row r="14" spans="1:55" s="10" customFormat="1" ht="11.45" customHeight="1">
      <c r="A14" s="109"/>
      <c r="B14" s="110" t="s">
        <v>69</v>
      </c>
      <c r="C14" s="111">
        <v>0</v>
      </c>
      <c r="D14" s="112">
        <v>0</v>
      </c>
      <c r="E14" s="112">
        <v>0</v>
      </c>
      <c r="F14" s="112">
        <v>0</v>
      </c>
      <c r="G14" s="112">
        <v>0</v>
      </c>
      <c r="H14" s="112">
        <v>0</v>
      </c>
      <c r="I14" s="112">
        <v>0</v>
      </c>
      <c r="J14" s="112">
        <v>26976</v>
      </c>
      <c r="K14" s="112">
        <v>86537</v>
      </c>
      <c r="L14" s="112">
        <v>49091</v>
      </c>
      <c r="M14" s="112">
        <v>73106</v>
      </c>
      <c r="N14" s="128">
        <v>30540</v>
      </c>
      <c r="O14" s="111">
        <v>39993</v>
      </c>
      <c r="P14" s="112">
        <v>46634</v>
      </c>
      <c r="Q14" s="112">
        <f t="shared" si="1"/>
        <v>352877</v>
      </c>
      <c r="R14" s="112">
        <v>86883</v>
      </c>
      <c r="S14" s="112">
        <v>92934</v>
      </c>
      <c r="T14" s="112">
        <v>156246</v>
      </c>
      <c r="U14" s="112">
        <v>62709</v>
      </c>
      <c r="V14" s="112">
        <v>83767</v>
      </c>
      <c r="W14" s="112">
        <v>14222</v>
      </c>
      <c r="X14" s="112">
        <v>0</v>
      </c>
      <c r="Y14" s="112">
        <v>0</v>
      </c>
      <c r="Z14" s="146">
        <v>0</v>
      </c>
      <c r="AA14" s="154">
        <v>0</v>
      </c>
      <c r="AB14" s="160">
        <f t="shared" si="2"/>
        <v>849638</v>
      </c>
      <c r="AC14" s="136">
        <v>0</v>
      </c>
      <c r="AD14" s="115">
        <v>0</v>
      </c>
      <c r="AH14" s="43"/>
      <c r="AI14" s="44" t="s">
        <v>69</v>
      </c>
      <c r="AJ14" s="67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38">
        <f t="shared" si="3"/>
        <v>0</v>
      </c>
      <c r="AY14" s="39">
        <f t="shared" si="4"/>
        <v>0</v>
      </c>
      <c r="AZ14" s="40">
        <f t="shared" si="0"/>
        <v>0</v>
      </c>
      <c r="BA14" s="11" t="e">
        <f>AZ14/AX14</f>
        <v>#DIV/0!</v>
      </c>
    </row>
    <row r="15" spans="1:55" s="10" customFormat="1" ht="11.45" customHeight="1">
      <c r="A15" s="109"/>
      <c r="B15" s="110" t="s">
        <v>70</v>
      </c>
      <c r="C15" s="111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2">
        <v>0</v>
      </c>
      <c r="J15" s="112">
        <v>0</v>
      </c>
      <c r="K15" s="112">
        <v>0</v>
      </c>
      <c r="L15" s="112">
        <v>0</v>
      </c>
      <c r="M15" s="112">
        <v>0</v>
      </c>
      <c r="N15" s="128">
        <v>0</v>
      </c>
      <c r="O15" s="111">
        <v>0</v>
      </c>
      <c r="P15" s="112">
        <v>0</v>
      </c>
      <c r="Q15" s="112">
        <f t="shared" si="1"/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87959</v>
      </c>
      <c r="Y15" s="112">
        <v>144789.32</v>
      </c>
      <c r="Z15" s="146">
        <v>222318.94</v>
      </c>
      <c r="AA15" s="154">
        <v>227589.67</v>
      </c>
      <c r="AB15" s="160">
        <f t="shared" si="2"/>
        <v>682656.93</v>
      </c>
      <c r="AC15" s="136">
        <v>84.14</v>
      </c>
      <c r="AD15" s="115">
        <v>63.05</v>
      </c>
      <c r="AH15" s="43"/>
      <c r="AI15" s="44" t="s">
        <v>70</v>
      </c>
      <c r="AJ15" s="67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38">
        <f t="shared" si="3"/>
        <v>222318.94</v>
      </c>
      <c r="AY15" s="39">
        <f t="shared" si="4"/>
        <v>63.05</v>
      </c>
      <c r="AZ15" s="40">
        <f t="shared" si="0"/>
        <v>7566</v>
      </c>
      <c r="BA15" s="11">
        <f>AZ15/AX15</f>
        <v>3.4032188170742446E-2</v>
      </c>
    </row>
    <row r="16" spans="1:55" s="10" customFormat="1" ht="11.45" customHeight="1">
      <c r="A16" s="109" t="s">
        <v>24</v>
      </c>
      <c r="B16" s="110"/>
      <c r="C16" s="111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28"/>
      <c r="O16" s="111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46"/>
      <c r="AA16" s="154"/>
      <c r="AB16" s="160"/>
      <c r="AC16" s="136"/>
      <c r="AD16" s="115"/>
      <c r="AH16" s="43" t="s">
        <v>24</v>
      </c>
      <c r="AI16" s="44"/>
      <c r="AJ16" s="67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38"/>
      <c r="AY16" s="39"/>
      <c r="AZ16" s="40"/>
      <c r="BA16" s="11"/>
    </row>
    <row r="17" spans="1:55" s="10" customFormat="1" ht="11.45" customHeight="1">
      <c r="A17" s="109"/>
      <c r="B17" s="110" t="s">
        <v>71</v>
      </c>
      <c r="C17" s="111">
        <v>0</v>
      </c>
      <c r="D17" s="112">
        <v>0</v>
      </c>
      <c r="E17" s="112">
        <v>0</v>
      </c>
      <c r="F17" s="112">
        <v>0</v>
      </c>
      <c r="G17" s="112">
        <v>0</v>
      </c>
      <c r="H17" s="112">
        <v>0</v>
      </c>
      <c r="I17" s="112">
        <v>0</v>
      </c>
      <c r="J17" s="112">
        <v>0</v>
      </c>
      <c r="K17" s="112">
        <v>11970</v>
      </c>
      <c r="L17" s="112">
        <v>287756</v>
      </c>
      <c r="M17" s="112">
        <v>52392</v>
      </c>
      <c r="N17" s="128">
        <v>137363</v>
      </c>
      <c r="O17" s="111">
        <v>221728</v>
      </c>
      <c r="P17" s="112">
        <v>221186</v>
      </c>
      <c r="Q17" s="112">
        <f t="shared" si="1"/>
        <v>932395</v>
      </c>
      <c r="R17" s="112">
        <v>207516</v>
      </c>
      <c r="S17" s="112">
        <v>197763</v>
      </c>
      <c r="T17" s="112">
        <v>196856</v>
      </c>
      <c r="U17" s="112">
        <v>35345</v>
      </c>
      <c r="V17" s="112">
        <v>0</v>
      </c>
      <c r="W17" s="112">
        <v>0</v>
      </c>
      <c r="X17" s="112">
        <v>0</v>
      </c>
      <c r="Y17" s="112">
        <v>0</v>
      </c>
      <c r="Z17" s="147">
        <v>0</v>
      </c>
      <c r="AA17" s="154">
        <v>0</v>
      </c>
      <c r="AB17" s="160">
        <f t="shared" si="2"/>
        <v>1569875</v>
      </c>
      <c r="AC17" s="136">
        <v>0</v>
      </c>
      <c r="AD17" s="115">
        <v>0</v>
      </c>
      <c r="AH17" s="43"/>
      <c r="AI17" s="44" t="s">
        <v>71</v>
      </c>
      <c r="AJ17" s="67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38">
        <f t="shared" si="3"/>
        <v>0</v>
      </c>
      <c r="AY17" s="39">
        <f t="shared" si="4"/>
        <v>0</v>
      </c>
      <c r="AZ17" s="40">
        <f>120*AY17</f>
        <v>0</v>
      </c>
      <c r="BA17" s="11"/>
    </row>
    <row r="18" spans="1:55" s="10" customFormat="1" ht="11.45" customHeight="1">
      <c r="A18" s="109" t="s">
        <v>72</v>
      </c>
      <c r="B18" s="110"/>
      <c r="C18" s="111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28"/>
      <c r="O18" s="111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46"/>
      <c r="AA18" s="154"/>
      <c r="AB18" s="160"/>
      <c r="AC18" s="136"/>
      <c r="AD18" s="115"/>
      <c r="AH18" s="43" t="s">
        <v>72</v>
      </c>
      <c r="AI18" s="44"/>
      <c r="AJ18" s="67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38"/>
      <c r="AY18" s="39"/>
      <c r="AZ18" s="40"/>
      <c r="BA18" s="11"/>
    </row>
    <row r="19" spans="1:55" s="10" customFormat="1" ht="11.45" customHeight="1">
      <c r="A19" s="109"/>
      <c r="B19" s="110" t="s">
        <v>73</v>
      </c>
      <c r="C19" s="111">
        <v>282671</v>
      </c>
      <c r="D19" s="112">
        <v>254709</v>
      </c>
      <c r="E19" s="112">
        <v>271381</v>
      </c>
      <c r="F19" s="112">
        <v>353734</v>
      </c>
      <c r="G19" s="112">
        <v>299863</v>
      </c>
      <c r="H19" s="112">
        <v>286671</v>
      </c>
      <c r="I19" s="112">
        <v>263012</v>
      </c>
      <c r="J19" s="112">
        <v>231637</v>
      </c>
      <c r="K19" s="112">
        <v>282591</v>
      </c>
      <c r="L19" s="112">
        <v>247720</v>
      </c>
      <c r="M19" s="112">
        <v>214671</v>
      </c>
      <c r="N19" s="128">
        <v>246421</v>
      </c>
      <c r="O19" s="111">
        <v>268967</v>
      </c>
      <c r="P19" s="112">
        <v>266463</v>
      </c>
      <c r="Q19" s="112">
        <f t="shared" si="1"/>
        <v>3770511</v>
      </c>
      <c r="R19" s="112">
        <v>269120</v>
      </c>
      <c r="S19" s="112">
        <v>233764</v>
      </c>
      <c r="T19" s="112">
        <v>224571</v>
      </c>
      <c r="U19" s="112">
        <v>227082</v>
      </c>
      <c r="V19" s="112">
        <v>247831</v>
      </c>
      <c r="W19" s="112">
        <v>274181</v>
      </c>
      <c r="X19" s="112">
        <v>281396</v>
      </c>
      <c r="Y19" s="112">
        <v>289569</v>
      </c>
      <c r="Z19" s="146">
        <v>236138</v>
      </c>
      <c r="AA19" s="154">
        <v>246723</v>
      </c>
      <c r="AB19" s="160">
        <f t="shared" si="2"/>
        <v>6300886</v>
      </c>
      <c r="AC19" s="136">
        <v>21.3</v>
      </c>
      <c r="AD19" s="115">
        <v>26.7</v>
      </c>
      <c r="AH19" s="43"/>
      <c r="AI19" s="44" t="s">
        <v>73</v>
      </c>
      <c r="AJ19" s="67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38">
        <f t="shared" si="3"/>
        <v>236138</v>
      </c>
      <c r="AY19" s="39">
        <f t="shared" si="4"/>
        <v>26.7</v>
      </c>
      <c r="AZ19" s="40">
        <f>120*AY19</f>
        <v>3204</v>
      </c>
      <c r="BA19" s="11">
        <f>AZ19/AX19</f>
        <v>1.3568337158780036E-2</v>
      </c>
    </row>
    <row r="20" spans="1:55" s="10" customFormat="1" ht="11.45" customHeight="1">
      <c r="A20" s="109" t="s">
        <v>74</v>
      </c>
      <c r="B20" s="110"/>
      <c r="C20" s="111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28"/>
      <c r="O20" s="111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46"/>
      <c r="AA20" s="154"/>
      <c r="AB20" s="160"/>
      <c r="AC20" s="136"/>
      <c r="AD20" s="115"/>
      <c r="AH20" s="43" t="s">
        <v>74</v>
      </c>
      <c r="AI20" s="44"/>
      <c r="AJ20" s="67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38"/>
      <c r="AY20" s="39"/>
      <c r="AZ20" s="40"/>
      <c r="BA20" s="11"/>
    </row>
    <row r="21" spans="1:55" s="10" customFormat="1" ht="11.45" customHeight="1">
      <c r="A21" s="109"/>
      <c r="B21" s="110" t="s">
        <v>95</v>
      </c>
      <c r="C21" s="111">
        <v>0</v>
      </c>
      <c r="D21" s="112">
        <v>0</v>
      </c>
      <c r="E21" s="112">
        <v>0</v>
      </c>
      <c r="F21" s="112">
        <v>0</v>
      </c>
      <c r="G21" s="112">
        <v>0</v>
      </c>
      <c r="H21" s="112">
        <v>0</v>
      </c>
      <c r="I21" s="112">
        <v>0</v>
      </c>
      <c r="J21" s="112">
        <v>0</v>
      </c>
      <c r="K21" s="112">
        <v>0</v>
      </c>
      <c r="L21" s="112">
        <v>790000</v>
      </c>
      <c r="M21" s="112">
        <v>4311628</v>
      </c>
      <c r="N21" s="128">
        <v>7330088</v>
      </c>
      <c r="O21" s="111">
        <v>7835229</v>
      </c>
      <c r="P21" s="112">
        <v>8100500</v>
      </c>
      <c r="Q21" s="112">
        <f t="shared" si="1"/>
        <v>28367445</v>
      </c>
      <c r="R21" s="112">
        <v>7443900</v>
      </c>
      <c r="S21" s="112">
        <v>7601000</v>
      </c>
      <c r="T21" s="112">
        <v>7500000</v>
      </c>
      <c r="U21" s="112">
        <v>7907585</v>
      </c>
      <c r="V21" s="112">
        <v>8620715</v>
      </c>
      <c r="W21" s="112">
        <v>8310744</v>
      </c>
      <c r="X21" s="112">
        <v>8508200</v>
      </c>
      <c r="Y21" s="112">
        <v>8799439</v>
      </c>
      <c r="Z21" s="146">
        <v>8836861</v>
      </c>
      <c r="AA21" s="154">
        <v>9215933</v>
      </c>
      <c r="AB21" s="160">
        <f t="shared" si="2"/>
        <v>111111822</v>
      </c>
      <c r="AC21" s="136">
        <v>501</v>
      </c>
      <c r="AD21" s="115">
        <v>490</v>
      </c>
      <c r="AH21" s="43"/>
      <c r="AI21" s="44" t="s">
        <v>95</v>
      </c>
      <c r="AJ21" s="67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38">
        <f t="shared" si="3"/>
        <v>8836861</v>
      </c>
      <c r="AY21" s="39">
        <f t="shared" si="4"/>
        <v>490</v>
      </c>
      <c r="AZ21" s="40">
        <f>120*AY21</f>
        <v>58800</v>
      </c>
      <c r="BA21" s="11">
        <f>AZ21/AX21</f>
        <v>6.6539464635689072E-3</v>
      </c>
    </row>
    <row r="22" spans="1:55" s="10" customFormat="1" ht="11.45" customHeight="1">
      <c r="A22" s="109" t="s">
        <v>75</v>
      </c>
      <c r="B22" s="110"/>
      <c r="C22" s="111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28"/>
      <c r="O22" s="111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46"/>
      <c r="AA22" s="154"/>
      <c r="AB22" s="160"/>
      <c r="AC22" s="136"/>
      <c r="AD22" s="114"/>
      <c r="AH22" s="43" t="s">
        <v>75</v>
      </c>
      <c r="AI22" s="44"/>
      <c r="AJ22" s="67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38"/>
      <c r="AY22" s="39"/>
      <c r="AZ22" s="40"/>
      <c r="BA22" s="11"/>
    </row>
    <row r="23" spans="1:55" s="10" customFormat="1" ht="11.45" customHeight="1">
      <c r="A23" s="109"/>
      <c r="B23" s="110" t="s">
        <v>76</v>
      </c>
      <c r="C23" s="111">
        <v>0</v>
      </c>
      <c r="D23" s="112">
        <v>0</v>
      </c>
      <c r="E23" s="112">
        <v>0</v>
      </c>
      <c r="F23" s="112">
        <v>0</v>
      </c>
      <c r="G23" s="112">
        <v>0</v>
      </c>
      <c r="H23" s="112">
        <v>0</v>
      </c>
      <c r="I23" s="112">
        <v>0</v>
      </c>
      <c r="J23" s="112">
        <v>0</v>
      </c>
      <c r="K23" s="112">
        <v>382637</v>
      </c>
      <c r="L23" s="112">
        <v>2750592</v>
      </c>
      <c r="M23" s="112">
        <v>2658006</v>
      </c>
      <c r="N23" s="128">
        <v>2820124</v>
      </c>
      <c r="O23" s="111">
        <v>2502072</v>
      </c>
      <c r="P23" s="112">
        <v>2797772</v>
      </c>
      <c r="Q23" s="112">
        <f t="shared" si="1"/>
        <v>13911203</v>
      </c>
      <c r="R23" s="112">
        <v>2966307</v>
      </c>
      <c r="S23" s="112">
        <v>2799983</v>
      </c>
      <c r="T23" s="112">
        <v>2839234</v>
      </c>
      <c r="U23" s="112">
        <v>3458589</v>
      </c>
      <c r="V23" s="112">
        <v>3421751</v>
      </c>
      <c r="W23" s="112">
        <v>3748956</v>
      </c>
      <c r="X23" s="112">
        <v>3870602</v>
      </c>
      <c r="Y23" s="112">
        <v>4132651</v>
      </c>
      <c r="Z23" s="146">
        <v>3816570</v>
      </c>
      <c r="AA23" s="154">
        <v>3420339</v>
      </c>
      <c r="AB23" s="160">
        <f t="shared" si="2"/>
        <v>48386185</v>
      </c>
      <c r="AC23" s="136">
        <v>362</v>
      </c>
      <c r="AD23" s="114">
        <v>421.5</v>
      </c>
      <c r="AH23" s="43"/>
      <c r="AI23" s="44" t="s">
        <v>76</v>
      </c>
      <c r="AJ23" s="67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38">
        <f t="shared" si="3"/>
        <v>3816570</v>
      </c>
      <c r="AY23" s="39">
        <f t="shared" si="4"/>
        <v>421.5</v>
      </c>
      <c r="AZ23" s="40">
        <f>120*AY23</f>
        <v>50580</v>
      </c>
      <c r="BA23" s="11">
        <f>AZ23/AX23</f>
        <v>1.325273740557621E-2</v>
      </c>
    </row>
    <row r="24" spans="1:55" s="10" customFormat="1" ht="11.45" customHeight="1">
      <c r="A24" s="109" t="s">
        <v>77</v>
      </c>
      <c r="B24" s="110"/>
      <c r="C24" s="111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28"/>
      <c r="O24" s="111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46"/>
      <c r="AA24" s="154"/>
      <c r="AB24" s="160"/>
      <c r="AC24" s="136"/>
      <c r="AD24" s="114"/>
      <c r="AH24" s="43" t="s">
        <v>77</v>
      </c>
      <c r="AI24" s="44"/>
      <c r="AJ24" s="67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38"/>
      <c r="AY24" s="39"/>
      <c r="AZ24" s="40"/>
      <c r="BA24" s="11"/>
    </row>
    <row r="25" spans="1:55" s="10" customFormat="1" ht="11.45" customHeight="1">
      <c r="A25" s="109"/>
      <c r="B25" s="110" t="s">
        <v>100</v>
      </c>
      <c r="C25" s="111">
        <v>0</v>
      </c>
      <c r="D25" s="112">
        <v>0</v>
      </c>
      <c r="E25" s="112">
        <v>0</v>
      </c>
      <c r="F25" s="112">
        <v>0</v>
      </c>
      <c r="G25" s="112">
        <v>478428</v>
      </c>
      <c r="H25" s="112">
        <v>717587</v>
      </c>
      <c r="I25" s="112">
        <v>2427436</v>
      </c>
      <c r="J25" s="112">
        <v>2440948</v>
      </c>
      <c r="K25" s="112">
        <v>2809894</v>
      </c>
      <c r="L25" s="112">
        <v>2528557</v>
      </c>
      <c r="M25" s="112">
        <v>2364938</v>
      </c>
      <c r="N25" s="128">
        <v>2447975</v>
      </c>
      <c r="O25" s="111">
        <v>3162796</v>
      </c>
      <c r="P25" s="112">
        <v>2983677</v>
      </c>
      <c r="Q25" s="112">
        <f t="shared" si="1"/>
        <v>22362236</v>
      </c>
      <c r="R25" s="112">
        <v>3015185</v>
      </c>
      <c r="S25" s="112">
        <v>3075931</v>
      </c>
      <c r="T25" s="112">
        <v>2929899</v>
      </c>
      <c r="U25" s="112">
        <v>3121279</v>
      </c>
      <c r="V25" s="112">
        <v>2873946</v>
      </c>
      <c r="W25" s="112">
        <v>2924022</v>
      </c>
      <c r="X25" s="112">
        <v>3324110</v>
      </c>
      <c r="Y25" s="112">
        <v>3486997</v>
      </c>
      <c r="Z25" s="146">
        <v>3522168</v>
      </c>
      <c r="AA25" s="154">
        <v>3419598</v>
      </c>
      <c r="AB25" s="160">
        <f t="shared" si="2"/>
        <v>54055371</v>
      </c>
      <c r="AC25" s="136">
        <v>192.02</v>
      </c>
      <c r="AD25" s="114">
        <v>269.37</v>
      </c>
      <c r="AH25" s="43"/>
      <c r="AI25" s="44" t="s">
        <v>100</v>
      </c>
      <c r="AJ25" s="67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38">
        <f t="shared" si="3"/>
        <v>3522168</v>
      </c>
      <c r="AY25" s="39">
        <f t="shared" si="4"/>
        <v>269.37</v>
      </c>
      <c r="AZ25" s="40">
        <f t="shared" ref="AZ25:AZ38" si="5">120*AY25</f>
        <v>32324.400000000001</v>
      </c>
      <c r="BA25" s="11">
        <f>AZ25/AX25</f>
        <v>9.1774157280402301E-3</v>
      </c>
    </row>
    <row r="26" spans="1:55" s="10" customFormat="1" ht="11.45" customHeight="1">
      <c r="A26" s="109" t="s">
        <v>78</v>
      </c>
      <c r="B26" s="110"/>
      <c r="C26" s="111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28"/>
      <c r="O26" s="111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46"/>
      <c r="AA26" s="154"/>
      <c r="AB26" s="160"/>
      <c r="AC26" s="136"/>
      <c r="AD26" s="114"/>
      <c r="AH26" s="43" t="s">
        <v>78</v>
      </c>
      <c r="AI26" s="44"/>
      <c r="AJ26" s="67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38"/>
      <c r="AY26" s="39"/>
      <c r="AZ26" s="40"/>
      <c r="BA26" s="11"/>
    </row>
    <row r="27" spans="1:55" s="10" customFormat="1" ht="11.45" customHeight="1">
      <c r="A27" s="109"/>
      <c r="B27" s="110" t="s">
        <v>79</v>
      </c>
      <c r="C27" s="111">
        <v>0</v>
      </c>
      <c r="D27" s="112">
        <v>0</v>
      </c>
      <c r="E27" s="112">
        <v>0</v>
      </c>
      <c r="F27" s="112">
        <v>0</v>
      </c>
      <c r="G27" s="112">
        <v>0</v>
      </c>
      <c r="H27" s="112">
        <v>0</v>
      </c>
      <c r="I27" s="112">
        <v>246223</v>
      </c>
      <c r="J27" s="112">
        <v>2277121</v>
      </c>
      <c r="K27" s="112">
        <v>3067787</v>
      </c>
      <c r="L27" s="112">
        <v>2883158</v>
      </c>
      <c r="M27" s="112">
        <v>2963000</v>
      </c>
      <c r="N27" s="128">
        <v>3372000</v>
      </c>
      <c r="O27" s="111">
        <v>3360021</v>
      </c>
      <c r="P27" s="112">
        <v>3670998</v>
      </c>
      <c r="Q27" s="112">
        <f t="shared" ref="Q27:Q40" si="6">SUM(C27:P27)</f>
        <v>21840308</v>
      </c>
      <c r="R27" s="112">
        <v>3513000</v>
      </c>
      <c r="S27" s="112">
        <v>3511588</v>
      </c>
      <c r="T27" s="112">
        <v>1566278</v>
      </c>
      <c r="U27" s="112">
        <v>0</v>
      </c>
      <c r="V27" s="112">
        <v>0</v>
      </c>
      <c r="W27" s="112">
        <v>0</v>
      </c>
      <c r="X27" s="112">
        <v>0</v>
      </c>
      <c r="Y27" s="112">
        <v>0</v>
      </c>
      <c r="Z27" s="146">
        <v>0</v>
      </c>
      <c r="AA27" s="154">
        <v>0</v>
      </c>
      <c r="AB27" s="160">
        <f t="shared" si="2"/>
        <v>30431174</v>
      </c>
      <c r="AC27" s="136">
        <v>0</v>
      </c>
      <c r="AD27" s="114">
        <v>0</v>
      </c>
      <c r="AH27" s="43"/>
      <c r="AI27" s="44" t="s">
        <v>79</v>
      </c>
      <c r="AJ27" s="67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38">
        <f t="shared" si="3"/>
        <v>0</v>
      </c>
      <c r="AY27" s="39">
        <f t="shared" si="4"/>
        <v>0</v>
      </c>
      <c r="AZ27" s="40">
        <f t="shared" si="5"/>
        <v>0</v>
      </c>
      <c r="BA27" s="11"/>
    </row>
    <row r="28" spans="1:55" s="10" customFormat="1" ht="11.45" customHeight="1">
      <c r="A28" s="109"/>
      <c r="B28" s="110" t="s">
        <v>80</v>
      </c>
      <c r="C28" s="111">
        <v>0</v>
      </c>
      <c r="D28" s="112">
        <v>0</v>
      </c>
      <c r="E28" s="112">
        <v>0</v>
      </c>
      <c r="F28" s="112">
        <v>0</v>
      </c>
      <c r="G28" s="112">
        <v>0</v>
      </c>
      <c r="H28" s="112">
        <v>0</v>
      </c>
      <c r="I28" s="112">
        <v>0</v>
      </c>
      <c r="J28" s="112">
        <v>0</v>
      </c>
      <c r="K28" s="112">
        <v>0</v>
      </c>
      <c r="L28" s="112">
        <v>0</v>
      </c>
      <c r="M28" s="112">
        <v>0</v>
      </c>
      <c r="N28" s="128">
        <v>0</v>
      </c>
      <c r="O28" s="111">
        <v>0</v>
      </c>
      <c r="P28" s="112">
        <v>0</v>
      </c>
      <c r="Q28" s="112">
        <f t="shared" si="6"/>
        <v>0</v>
      </c>
      <c r="R28" s="112">
        <v>0</v>
      </c>
      <c r="S28" s="112">
        <v>0</v>
      </c>
      <c r="T28" s="112">
        <v>1759003</v>
      </c>
      <c r="U28" s="112">
        <v>3541201</v>
      </c>
      <c r="V28" s="112">
        <v>3560529</v>
      </c>
      <c r="W28" s="112">
        <v>3228582</v>
      </c>
      <c r="X28" s="112">
        <v>458296</v>
      </c>
      <c r="Y28" s="112">
        <v>0</v>
      </c>
      <c r="Z28" s="146">
        <v>0</v>
      </c>
      <c r="AA28" s="154">
        <v>0</v>
      </c>
      <c r="AB28" s="160">
        <f t="shared" si="2"/>
        <v>12547611</v>
      </c>
      <c r="AC28" s="136">
        <v>0</v>
      </c>
      <c r="AD28" s="114">
        <v>0</v>
      </c>
      <c r="AH28" s="43"/>
      <c r="AI28" s="44" t="s">
        <v>80</v>
      </c>
      <c r="AJ28" s="67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38">
        <f t="shared" si="3"/>
        <v>0</v>
      </c>
      <c r="AY28" s="39">
        <f t="shared" si="4"/>
        <v>0</v>
      </c>
      <c r="AZ28" s="40">
        <f t="shared" si="5"/>
        <v>0</v>
      </c>
      <c r="BA28" s="11"/>
    </row>
    <row r="29" spans="1:55" s="10" customFormat="1" ht="11.45" customHeight="1">
      <c r="A29" s="109" t="s">
        <v>81</v>
      </c>
      <c r="B29" s="110"/>
      <c r="C29" s="111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28"/>
      <c r="O29" s="111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46"/>
      <c r="AA29" s="154"/>
      <c r="AB29" s="160"/>
      <c r="AC29" s="136"/>
      <c r="AD29" s="114"/>
      <c r="AH29" s="43" t="s">
        <v>81</v>
      </c>
      <c r="AI29" s="44"/>
      <c r="AJ29" s="67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38"/>
      <c r="AY29" s="39"/>
      <c r="AZ29" s="40"/>
      <c r="BA29" s="11"/>
      <c r="BB29" s="12">
        <f>SUM(AZ30:AZ34)</f>
        <v>214440</v>
      </c>
      <c r="BC29" s="13">
        <f>SUM(AX30:AX34)</f>
        <v>28860755</v>
      </c>
    </row>
    <row r="30" spans="1:55" s="10" customFormat="1" ht="11.45" customHeight="1">
      <c r="A30" s="109"/>
      <c r="B30" s="110" t="s">
        <v>82</v>
      </c>
      <c r="C30" s="111">
        <v>5300672</v>
      </c>
      <c r="D30" s="112">
        <v>5288041</v>
      </c>
      <c r="E30" s="112">
        <v>5298285</v>
      </c>
      <c r="F30" s="112">
        <v>5087768</v>
      </c>
      <c r="G30" s="112">
        <v>5498170</v>
      </c>
      <c r="H30" s="112">
        <v>5908910</v>
      </c>
      <c r="I30" s="112">
        <v>6019187</v>
      </c>
      <c r="J30" s="112">
        <v>5785432</v>
      </c>
      <c r="K30" s="112">
        <v>5879462</v>
      </c>
      <c r="L30" s="112">
        <v>4980121</v>
      </c>
      <c r="M30" s="112">
        <v>5175816</v>
      </c>
      <c r="N30" s="128">
        <v>5217328</v>
      </c>
      <c r="O30" s="111">
        <v>5847197</v>
      </c>
      <c r="P30" s="112">
        <v>5669905</v>
      </c>
      <c r="Q30" s="112">
        <f t="shared" si="6"/>
        <v>76956294</v>
      </c>
      <c r="R30" s="112">
        <v>5328384</v>
      </c>
      <c r="S30" s="112">
        <v>5364699</v>
      </c>
      <c r="T30" s="112">
        <v>5252735</v>
      </c>
      <c r="U30" s="112">
        <v>5126860</v>
      </c>
      <c r="V30" s="112">
        <v>5195163</v>
      </c>
      <c r="W30" s="112">
        <v>5023529</v>
      </c>
      <c r="X30" s="112">
        <v>5180558</v>
      </c>
      <c r="Y30" s="112">
        <f>4962566+91</f>
        <v>4962657</v>
      </c>
      <c r="Z30" s="146">
        <v>4926084</v>
      </c>
      <c r="AA30" s="154">
        <v>5036675</v>
      </c>
      <c r="AB30" s="160">
        <f t="shared" si="2"/>
        <v>128353638</v>
      </c>
      <c r="AC30" s="136">
        <v>266</v>
      </c>
      <c r="AD30" s="114">
        <v>312</v>
      </c>
      <c r="AH30" s="43"/>
      <c r="AI30" s="44" t="s">
        <v>82</v>
      </c>
      <c r="AJ30" s="67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38">
        <f t="shared" si="3"/>
        <v>4926084</v>
      </c>
      <c r="AY30" s="39">
        <f t="shared" si="4"/>
        <v>312</v>
      </c>
      <c r="AZ30" s="40">
        <f t="shared" si="5"/>
        <v>37440</v>
      </c>
      <c r="BA30" s="11">
        <f>AZ30/AX30</f>
        <v>7.6003576065694373E-3</v>
      </c>
    </row>
    <row r="31" spans="1:55" s="10" customFormat="1" ht="11.45" customHeight="1">
      <c r="A31" s="109"/>
      <c r="B31" s="110" t="s">
        <v>83</v>
      </c>
      <c r="C31" s="111">
        <v>40202</v>
      </c>
      <c r="D31" s="112">
        <v>3147693</v>
      </c>
      <c r="E31" s="112">
        <v>5971750</v>
      </c>
      <c r="F31" s="112">
        <v>10604000</v>
      </c>
      <c r="G31" s="112">
        <v>10823664</v>
      </c>
      <c r="H31" s="112">
        <v>9922390</v>
      </c>
      <c r="I31" s="112">
        <v>11304691</v>
      </c>
      <c r="J31" s="112">
        <v>11629787</v>
      </c>
      <c r="K31" s="112">
        <v>11524714</v>
      </c>
      <c r="L31" s="112">
        <v>12299469</v>
      </c>
      <c r="M31" s="112">
        <v>10911270</v>
      </c>
      <c r="N31" s="128">
        <v>7840894</v>
      </c>
      <c r="O31" s="111">
        <v>8967751</v>
      </c>
      <c r="P31" s="112">
        <v>8553757</v>
      </c>
      <c r="Q31" s="112">
        <f t="shared" si="6"/>
        <v>123542032</v>
      </c>
      <c r="R31" s="112">
        <v>10393014</v>
      </c>
      <c r="S31" s="112">
        <v>10468213</v>
      </c>
      <c r="T31" s="112">
        <v>10638535</v>
      </c>
      <c r="U31" s="112">
        <v>9123251</v>
      </c>
      <c r="V31" s="112">
        <v>7714733</v>
      </c>
      <c r="W31" s="112">
        <v>7311000</v>
      </c>
      <c r="X31" s="112">
        <v>6372792</v>
      </c>
      <c r="Y31" s="112">
        <v>7180099</v>
      </c>
      <c r="Z31" s="146">
        <v>8503667</v>
      </c>
      <c r="AA31" s="154">
        <v>7482962</v>
      </c>
      <c r="AB31" s="160">
        <f t="shared" si="2"/>
        <v>208730298</v>
      </c>
      <c r="AC31" s="136">
        <v>438</v>
      </c>
      <c r="AD31" s="114">
        <v>468</v>
      </c>
      <c r="AH31" s="43"/>
      <c r="AI31" s="44" t="s">
        <v>83</v>
      </c>
      <c r="AJ31" s="67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38">
        <f t="shared" si="3"/>
        <v>8503667</v>
      </c>
      <c r="AY31" s="39">
        <f t="shared" si="4"/>
        <v>468</v>
      </c>
      <c r="AZ31" s="40">
        <f t="shared" si="5"/>
        <v>56160</v>
      </c>
      <c r="BA31" s="11">
        <f>AZ31/AX31</f>
        <v>6.6042096897726589E-3</v>
      </c>
      <c r="BC31" s="11">
        <f>BB29/BC29</f>
        <v>7.4301590516256417E-3</v>
      </c>
    </row>
    <row r="32" spans="1:55" s="10" customFormat="1" ht="11.45" customHeight="1">
      <c r="A32" s="109"/>
      <c r="B32" s="110" t="s">
        <v>84</v>
      </c>
      <c r="C32" s="111">
        <v>0</v>
      </c>
      <c r="D32" s="112">
        <v>0</v>
      </c>
      <c r="E32" s="112">
        <v>0</v>
      </c>
      <c r="F32" s="112">
        <v>0</v>
      </c>
      <c r="G32" s="112">
        <v>0</v>
      </c>
      <c r="H32" s="112">
        <v>0</v>
      </c>
      <c r="I32" s="112">
        <v>0</v>
      </c>
      <c r="J32" s="112">
        <v>0</v>
      </c>
      <c r="K32" s="112">
        <v>0</v>
      </c>
      <c r="L32" s="112">
        <v>0</v>
      </c>
      <c r="M32" s="112">
        <v>1665409</v>
      </c>
      <c r="N32" s="128">
        <v>4361634</v>
      </c>
      <c r="O32" s="111">
        <v>3493540</v>
      </c>
      <c r="P32" s="112">
        <v>3928452</v>
      </c>
      <c r="Q32" s="112">
        <f t="shared" si="6"/>
        <v>13449035</v>
      </c>
      <c r="R32" s="112">
        <v>2756016</v>
      </c>
      <c r="S32" s="112">
        <v>2363196</v>
      </c>
      <c r="T32" s="112">
        <v>3191140</v>
      </c>
      <c r="U32" s="112">
        <v>4139252</v>
      </c>
      <c r="V32" s="112">
        <v>4872259</v>
      </c>
      <c r="W32" s="112">
        <v>5407000</v>
      </c>
      <c r="X32" s="112">
        <v>5407000</v>
      </c>
      <c r="Y32" s="112">
        <f>5853200+196</f>
        <v>5853396</v>
      </c>
      <c r="Z32" s="146">
        <v>5304417</v>
      </c>
      <c r="AA32" s="154">
        <v>6122628</v>
      </c>
      <c r="AB32" s="160">
        <f t="shared" si="2"/>
        <v>58865339</v>
      </c>
      <c r="AC32" s="136">
        <v>487</v>
      </c>
      <c r="AD32" s="114">
        <v>452</v>
      </c>
      <c r="AH32" s="43"/>
      <c r="AI32" s="44" t="s">
        <v>84</v>
      </c>
      <c r="AJ32" s="67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38">
        <f t="shared" si="3"/>
        <v>5304417</v>
      </c>
      <c r="AY32" s="39">
        <f t="shared" si="4"/>
        <v>452</v>
      </c>
      <c r="AZ32" s="40">
        <f t="shared" si="5"/>
        <v>54240</v>
      </c>
      <c r="BA32" s="11">
        <f>AZ32/AX32</f>
        <v>1.0225440420690908E-2</v>
      </c>
    </row>
    <row r="33" spans="1:53" s="10" customFormat="1" ht="11.45" customHeight="1">
      <c r="A33" s="109"/>
      <c r="B33" s="110" t="s">
        <v>103</v>
      </c>
      <c r="C33" s="111">
        <v>6602335</v>
      </c>
      <c r="D33" s="112">
        <v>6229307</v>
      </c>
      <c r="E33" s="112">
        <v>10966468</v>
      </c>
      <c r="F33" s="112">
        <v>11899000</v>
      </c>
      <c r="G33" s="112">
        <v>10668278</v>
      </c>
      <c r="H33" s="112">
        <v>12052339</v>
      </c>
      <c r="I33" s="112">
        <v>9777315</v>
      </c>
      <c r="J33" s="112">
        <v>11361054</v>
      </c>
      <c r="K33" s="112">
        <v>11796620</v>
      </c>
      <c r="L33" s="112">
        <v>11990354</v>
      </c>
      <c r="M33" s="112">
        <v>12168463</v>
      </c>
      <c r="N33" s="128">
        <v>10969885</v>
      </c>
      <c r="O33" s="111">
        <v>10760806</v>
      </c>
      <c r="P33" s="112">
        <v>11764456</v>
      </c>
      <c r="Q33" s="112">
        <f t="shared" si="6"/>
        <v>149006680</v>
      </c>
      <c r="R33" s="112">
        <v>10053427</v>
      </c>
      <c r="S33" s="112">
        <v>8770696</v>
      </c>
      <c r="T33" s="112">
        <v>8328526</v>
      </c>
      <c r="U33" s="112">
        <v>8338089</v>
      </c>
      <c r="V33" s="112">
        <v>6092784</v>
      </c>
      <c r="W33" s="112">
        <v>7497852</v>
      </c>
      <c r="X33" s="112">
        <v>10522217</v>
      </c>
      <c r="Y33" s="112">
        <f>5074658+2764350</f>
        <v>7839008</v>
      </c>
      <c r="Z33" s="146">
        <v>7839840</v>
      </c>
      <c r="AA33" s="154">
        <v>7860190</v>
      </c>
      <c r="AB33" s="160">
        <f t="shared" si="2"/>
        <v>232149309</v>
      </c>
      <c r="AC33" s="136">
        <v>520</v>
      </c>
      <c r="AD33" s="114">
        <v>470</v>
      </c>
      <c r="AH33" s="43"/>
      <c r="AI33" s="44" t="s">
        <v>96</v>
      </c>
      <c r="AJ33" s="67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38">
        <f t="shared" si="3"/>
        <v>7839840</v>
      </c>
      <c r="AY33" s="39">
        <f t="shared" si="4"/>
        <v>470</v>
      </c>
      <c r="AZ33" s="40">
        <f t="shared" si="5"/>
        <v>56400</v>
      </c>
      <c r="BA33" s="11">
        <f>AZ33/AX33</f>
        <v>7.1940243678442414E-3</v>
      </c>
    </row>
    <row r="34" spans="1:53" s="10" customFormat="1" ht="11.45" customHeight="1">
      <c r="A34" s="109"/>
      <c r="B34" s="110" t="s">
        <v>85</v>
      </c>
      <c r="C34" s="111">
        <v>0</v>
      </c>
      <c r="D34" s="112">
        <v>0</v>
      </c>
      <c r="E34" s="112">
        <v>0</v>
      </c>
      <c r="F34" s="112">
        <v>0</v>
      </c>
      <c r="G34" s="112">
        <v>0</v>
      </c>
      <c r="H34" s="112">
        <v>0</v>
      </c>
      <c r="I34" s="112">
        <v>0</v>
      </c>
      <c r="J34" s="112">
        <v>0</v>
      </c>
      <c r="K34" s="112">
        <v>0</v>
      </c>
      <c r="L34" s="112">
        <v>0</v>
      </c>
      <c r="M34" s="112">
        <v>0</v>
      </c>
      <c r="N34" s="128">
        <v>0</v>
      </c>
      <c r="O34" s="111">
        <v>0</v>
      </c>
      <c r="P34" s="112">
        <v>0</v>
      </c>
      <c r="Q34" s="112">
        <f t="shared" si="6"/>
        <v>0</v>
      </c>
      <c r="R34" s="112">
        <v>2059302</v>
      </c>
      <c r="S34" s="112">
        <v>1872898</v>
      </c>
      <c r="T34" s="112">
        <v>2470000</v>
      </c>
      <c r="U34" s="112">
        <v>2356384</v>
      </c>
      <c r="V34" s="112">
        <v>0</v>
      </c>
      <c r="W34" s="112">
        <v>1161472</v>
      </c>
      <c r="X34" s="112">
        <v>0</v>
      </c>
      <c r="Y34" s="112">
        <v>2194885</v>
      </c>
      <c r="Z34" s="146">
        <v>2286747</v>
      </c>
      <c r="AA34" s="154">
        <v>2138416</v>
      </c>
      <c r="AB34" s="160">
        <f t="shared" si="2"/>
        <v>16540104</v>
      </c>
      <c r="AC34" s="136">
        <v>80</v>
      </c>
      <c r="AD34" s="114">
        <v>85</v>
      </c>
      <c r="AH34" s="43"/>
      <c r="AI34" s="44" t="s">
        <v>85</v>
      </c>
      <c r="AJ34" s="67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38">
        <f t="shared" si="3"/>
        <v>2286747</v>
      </c>
      <c r="AY34" s="39">
        <f t="shared" si="4"/>
        <v>85</v>
      </c>
      <c r="AZ34" s="40">
        <f t="shared" si="5"/>
        <v>10200</v>
      </c>
      <c r="BA34" s="11">
        <f>AZ34/AX34</f>
        <v>4.4604846972577201E-3</v>
      </c>
    </row>
    <row r="35" spans="1:53" s="10" customFormat="1" ht="11.45" customHeight="1">
      <c r="A35" s="109" t="s">
        <v>86</v>
      </c>
      <c r="B35" s="110"/>
      <c r="C35" s="111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28"/>
      <c r="O35" s="111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46"/>
      <c r="AA35" s="154"/>
      <c r="AB35" s="160"/>
      <c r="AC35" s="136"/>
      <c r="AD35" s="114"/>
      <c r="AH35" s="43" t="s">
        <v>86</v>
      </c>
      <c r="AI35" s="44"/>
      <c r="AJ35" s="67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38"/>
      <c r="AY35" s="39"/>
      <c r="AZ35" s="40"/>
      <c r="BA35" s="11"/>
    </row>
    <row r="36" spans="1:53" s="10" customFormat="1" ht="11.45" customHeight="1">
      <c r="A36" s="109"/>
      <c r="B36" s="110" t="s">
        <v>87</v>
      </c>
      <c r="C36" s="111">
        <v>0</v>
      </c>
      <c r="D36" s="112">
        <v>0</v>
      </c>
      <c r="E36" s="112">
        <v>0</v>
      </c>
      <c r="F36" s="112">
        <v>0</v>
      </c>
      <c r="G36" s="112">
        <v>0</v>
      </c>
      <c r="H36" s="112">
        <v>0</v>
      </c>
      <c r="I36" s="112">
        <v>0</v>
      </c>
      <c r="J36" s="112">
        <v>0</v>
      </c>
      <c r="K36" s="112">
        <v>0</v>
      </c>
      <c r="L36" s="112">
        <v>0</v>
      </c>
      <c r="M36" s="112">
        <v>0</v>
      </c>
      <c r="N36" s="128">
        <v>0</v>
      </c>
      <c r="O36" s="111">
        <v>0</v>
      </c>
      <c r="P36" s="112">
        <v>5194</v>
      </c>
      <c r="Q36" s="112">
        <f t="shared" si="6"/>
        <v>5194</v>
      </c>
      <c r="R36" s="112">
        <v>660727</v>
      </c>
      <c r="S36" s="112">
        <v>1510103</v>
      </c>
      <c r="T36" s="112">
        <v>1893456</v>
      </c>
      <c r="U36" s="112">
        <v>1782139</v>
      </c>
      <c r="V36" s="112">
        <v>1951294</v>
      </c>
      <c r="W36" s="112">
        <v>1981772</v>
      </c>
      <c r="X36" s="112">
        <v>1933392</v>
      </c>
      <c r="Y36" s="112">
        <v>1702000</v>
      </c>
      <c r="Z36" s="146">
        <v>1864208</v>
      </c>
      <c r="AA36" s="154">
        <v>1615235</v>
      </c>
      <c r="AB36" s="160">
        <f t="shared" si="2"/>
        <v>16899520</v>
      </c>
      <c r="AC36" s="136">
        <v>59.9</v>
      </c>
      <c r="AD36" s="114">
        <v>93.5</v>
      </c>
      <c r="AH36" s="43"/>
      <c r="AI36" s="44" t="s">
        <v>87</v>
      </c>
      <c r="AJ36" s="67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38">
        <f t="shared" si="3"/>
        <v>1864208</v>
      </c>
      <c r="AY36" s="39">
        <f t="shared" si="4"/>
        <v>93.5</v>
      </c>
      <c r="AZ36" s="40">
        <f t="shared" si="5"/>
        <v>11220</v>
      </c>
      <c r="BA36" s="11">
        <f>AZ36/AX36</f>
        <v>6.0186416966347099E-3</v>
      </c>
    </row>
    <row r="37" spans="1:53" s="10" customFormat="1" ht="11.45" customHeight="1">
      <c r="A37" s="109" t="s">
        <v>88</v>
      </c>
      <c r="B37" s="110"/>
      <c r="C37" s="111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28"/>
      <c r="O37" s="111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46"/>
      <c r="AA37" s="155"/>
      <c r="AB37" s="160"/>
      <c r="AC37" s="137"/>
      <c r="AD37" s="114"/>
      <c r="AH37" s="43" t="s">
        <v>88</v>
      </c>
      <c r="AI37" s="44"/>
      <c r="AJ37" s="67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38"/>
      <c r="AY37" s="39"/>
      <c r="AZ37" s="40"/>
      <c r="BA37" s="11"/>
    </row>
    <row r="38" spans="1:53" s="10" customFormat="1" ht="12.75" customHeight="1">
      <c r="A38" s="109"/>
      <c r="B38" s="110" t="s">
        <v>89</v>
      </c>
      <c r="C38" s="111">
        <v>0</v>
      </c>
      <c r="D38" s="112">
        <v>0</v>
      </c>
      <c r="E38" s="112">
        <v>0</v>
      </c>
      <c r="F38" s="112">
        <v>0</v>
      </c>
      <c r="G38" s="112">
        <v>150000</v>
      </c>
      <c r="H38" s="112">
        <v>108544</v>
      </c>
      <c r="I38" s="112">
        <v>113000</v>
      </c>
      <c r="J38" s="112">
        <v>94440</v>
      </c>
      <c r="K38" s="112">
        <v>0</v>
      </c>
      <c r="L38" s="112">
        <v>0</v>
      </c>
      <c r="M38" s="112">
        <v>0</v>
      </c>
      <c r="N38" s="128">
        <v>0</v>
      </c>
      <c r="O38" s="111">
        <v>0</v>
      </c>
      <c r="P38" s="112">
        <v>0</v>
      </c>
      <c r="Q38" s="112">
        <f t="shared" si="6"/>
        <v>465984</v>
      </c>
      <c r="R38" s="112">
        <v>0</v>
      </c>
      <c r="S38" s="112">
        <v>0</v>
      </c>
      <c r="T38" s="112">
        <v>0</v>
      </c>
      <c r="U38" s="112">
        <v>0</v>
      </c>
      <c r="V38" s="112">
        <v>0</v>
      </c>
      <c r="W38" s="112">
        <v>0</v>
      </c>
      <c r="X38" s="112">
        <v>0</v>
      </c>
      <c r="Y38" s="112">
        <v>0</v>
      </c>
      <c r="Z38" s="146">
        <v>0</v>
      </c>
      <c r="AA38" s="155">
        <v>0</v>
      </c>
      <c r="AB38" s="160">
        <f t="shared" si="2"/>
        <v>465984</v>
      </c>
      <c r="AC38" s="137"/>
      <c r="AD38" s="114">
        <v>0</v>
      </c>
      <c r="AH38" s="43"/>
      <c r="AI38" s="44" t="s">
        <v>89</v>
      </c>
      <c r="AJ38" s="67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38">
        <f t="shared" si="3"/>
        <v>0</v>
      </c>
      <c r="AY38" s="39">
        <f t="shared" si="4"/>
        <v>0</v>
      </c>
      <c r="AZ38" s="40">
        <f t="shared" si="5"/>
        <v>0</v>
      </c>
      <c r="BA38" s="11"/>
    </row>
    <row r="39" spans="1:53" s="10" customFormat="1" ht="11.25" customHeight="1" thickBot="1">
      <c r="A39" s="109"/>
      <c r="B39" s="110"/>
      <c r="C39" s="111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28"/>
      <c r="O39" s="111"/>
      <c r="P39" s="112"/>
      <c r="Q39" s="112"/>
      <c r="R39" s="112"/>
      <c r="S39" s="112"/>
      <c r="T39" s="112"/>
      <c r="U39" s="112"/>
      <c r="V39" s="112"/>
      <c r="W39" s="112"/>
      <c r="X39" s="112"/>
      <c r="Y39" s="116"/>
      <c r="Z39" s="146"/>
      <c r="AA39" s="155"/>
      <c r="AB39" s="160"/>
      <c r="AC39" s="137"/>
      <c r="AD39" s="114"/>
      <c r="AH39" s="69"/>
      <c r="AI39" s="70"/>
      <c r="AJ39" s="71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/>
      <c r="AW39" s="72"/>
      <c r="AX39" s="73"/>
      <c r="AY39" s="74"/>
      <c r="AZ39" s="75"/>
      <c r="BA39" s="11"/>
    </row>
    <row r="40" spans="1:53" s="81" customFormat="1" ht="13.5" customHeight="1" thickBot="1">
      <c r="A40" s="76" t="s">
        <v>44</v>
      </c>
      <c r="B40" s="77"/>
      <c r="C40" s="78">
        <f t="shared" ref="C40:J40" si="7">SUM(C9:C37)</f>
        <v>14290980</v>
      </c>
      <c r="D40" s="79">
        <f t="shared" si="7"/>
        <v>16899441</v>
      </c>
      <c r="E40" s="79">
        <f t="shared" si="7"/>
        <v>24516082</v>
      </c>
      <c r="F40" s="79">
        <f t="shared" si="7"/>
        <v>29834964</v>
      </c>
      <c r="G40" s="79">
        <f t="shared" si="7"/>
        <v>30100783</v>
      </c>
      <c r="H40" s="79">
        <f t="shared" si="7"/>
        <v>32655391</v>
      </c>
      <c r="I40" s="79">
        <f t="shared" si="7"/>
        <v>34637787</v>
      </c>
      <c r="J40" s="79">
        <f t="shared" si="7"/>
        <v>38830957</v>
      </c>
      <c r="K40" s="79">
        <f>SUM(K9:K38)</f>
        <v>41283698</v>
      </c>
      <c r="L40" s="79">
        <f>SUM(L9:L37)</f>
        <v>45387479</v>
      </c>
      <c r="M40" s="79">
        <f>SUM(M9:M37)</f>
        <v>48491612</v>
      </c>
      <c r="N40" s="129">
        <f>SUM(N9:N37)</f>
        <v>50617094</v>
      </c>
      <c r="O40" s="78">
        <f>SUM(O9:O37)</f>
        <v>52321750</v>
      </c>
      <c r="P40" s="79">
        <f>SUM(P9:P37)</f>
        <v>54064834</v>
      </c>
      <c r="Q40" s="79">
        <f t="shared" si="6"/>
        <v>513932852</v>
      </c>
      <c r="R40" s="79">
        <f>SUM(R9:R38)</f>
        <v>55559754</v>
      </c>
      <c r="S40" s="79">
        <f t="shared" ref="S40:AC40" si="8">SUM(S9:S38)</f>
        <v>53775088</v>
      </c>
      <c r="T40" s="79">
        <f t="shared" si="8"/>
        <v>54989842</v>
      </c>
      <c r="U40" s="79">
        <f t="shared" si="8"/>
        <v>56478272</v>
      </c>
      <c r="V40" s="79">
        <f t="shared" si="8"/>
        <v>50917859</v>
      </c>
      <c r="W40" s="79">
        <f t="shared" si="8"/>
        <v>52856181</v>
      </c>
      <c r="X40" s="79">
        <f t="shared" si="8"/>
        <v>52032153</v>
      </c>
      <c r="Y40" s="79">
        <f t="shared" si="8"/>
        <v>53163521.189999998</v>
      </c>
      <c r="Z40" s="148">
        <f t="shared" si="8"/>
        <v>53408065.32</v>
      </c>
      <c r="AA40" s="156">
        <f t="shared" si="8"/>
        <v>53201938.82</v>
      </c>
      <c r="AB40" s="161">
        <f>SUM(Q40:AA40)</f>
        <v>1050315526.3300002</v>
      </c>
      <c r="AC40" s="156">
        <f t="shared" si="8"/>
        <v>3288.33</v>
      </c>
      <c r="AD40" s="80">
        <f>SUM(AD9:AD38)</f>
        <v>3465.65</v>
      </c>
      <c r="AH40" s="82" t="s">
        <v>44</v>
      </c>
      <c r="AI40" s="83"/>
      <c r="AJ40" s="84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/>
      <c r="AW40" s="85"/>
      <c r="AX40" s="86">
        <f>SUM(AX9:AX38)</f>
        <v>53408065.32</v>
      </c>
      <c r="AY40" s="87">
        <f>SUM(AY9:AY38)</f>
        <v>3465.65</v>
      </c>
      <c r="AZ40" s="88">
        <f>SUM(AZ9:AZ38)</f>
        <v>415878</v>
      </c>
      <c r="BA40" s="89">
        <f>AZ40/AX40</f>
        <v>7.7868014410973985E-3</v>
      </c>
    </row>
    <row r="41" spans="1:53" s="81" customFormat="1" ht="12.95" hidden="1" customHeight="1" thickBot="1">
      <c r="A41" s="28" t="s">
        <v>101</v>
      </c>
      <c r="B41" s="90"/>
      <c r="C41" s="91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130"/>
      <c r="O41" s="91"/>
      <c r="P41" s="92"/>
      <c r="Q41" s="93">
        <f>Q40-Q11-Q13-Q14-Q15-Q19-Q38</f>
        <v>506362232</v>
      </c>
      <c r="R41" s="93">
        <f t="shared" ref="R41:Z41" si="9">R40-R11-R13-R14-R15-R19-R38</f>
        <v>54866130</v>
      </c>
      <c r="S41" s="93">
        <f t="shared" si="9"/>
        <v>53209686</v>
      </c>
      <c r="T41" s="93">
        <f t="shared" si="9"/>
        <v>54284700</v>
      </c>
      <c r="U41" s="93">
        <f t="shared" si="9"/>
        <v>55834447</v>
      </c>
      <c r="V41" s="93">
        <f t="shared" si="9"/>
        <v>50333074</v>
      </c>
      <c r="W41" s="93">
        <f t="shared" si="9"/>
        <v>52269668</v>
      </c>
      <c r="X41" s="93">
        <f t="shared" si="9"/>
        <v>51304988</v>
      </c>
      <c r="Y41" s="93">
        <f t="shared" si="9"/>
        <v>52521159</v>
      </c>
      <c r="Z41" s="94">
        <f t="shared" si="9"/>
        <v>52812080</v>
      </c>
      <c r="AA41" s="117"/>
      <c r="AB41" s="95">
        <f>SUM(Q41:Z41)</f>
        <v>983798164</v>
      </c>
      <c r="AC41" s="135"/>
      <c r="AD41" s="96"/>
      <c r="BA41" s="89"/>
    </row>
    <row r="42" spans="1:53" ht="13.5" hidden="1" thickBot="1">
      <c r="AA42" s="133"/>
      <c r="AZ42" s="2">
        <f>AY40*120</f>
        <v>415878</v>
      </c>
    </row>
    <row r="59" spans="21:21">
      <c r="U59" s="2"/>
    </row>
    <row r="76" spans="21:21">
      <c r="U76" s="2"/>
    </row>
  </sheetData>
  <mergeCells count="1">
    <mergeCell ref="Q2:Z2"/>
  </mergeCells>
  <phoneticPr fontId="0" type="noConversion"/>
  <pageMargins left="0.09" right="0.3" top="1" bottom="0.89" header="0.5" footer="0.5"/>
  <pageSetup paperSize="5" orientation="landscape" r:id="rId1"/>
  <headerFooter alignWithMargins="0">
    <oddHeader>&amp;C&amp;"Arial,Bold"&amp;11Railroad Commission of Texas
Annual Production Data</oddHeader>
    <oddFooter>&amp;L&amp;D&amp;RCoalprod.xls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  <pageSetUpPr autoPageBreaks="0"/>
  </sheetPr>
  <dimension ref="A2:IQ44"/>
  <sheetViews>
    <sheetView showOutlineSymbols="0" workbookViewId="0">
      <selection activeCell="A8" sqref="A8"/>
    </sheetView>
  </sheetViews>
  <sheetFormatPr defaultColWidth="9.140625" defaultRowHeight="15"/>
  <cols>
    <col min="1" max="1" width="11.28515625" style="164" customWidth="1"/>
    <col min="2" max="2" width="19.42578125" style="162" customWidth="1"/>
    <col min="3" max="3" width="14.85546875" style="162" customWidth="1"/>
    <col min="4" max="4" width="17.42578125" style="165" customWidth="1"/>
    <col min="5" max="5" width="11.5703125" style="162" customWidth="1"/>
    <col min="6" max="6" width="13.42578125" style="162" customWidth="1"/>
    <col min="7" max="7" width="15.140625" style="162" customWidth="1"/>
    <col min="8" max="8" width="11.5703125" style="162" customWidth="1"/>
    <col min="9" max="9" width="11.85546875" style="162" customWidth="1"/>
    <col min="10" max="11" width="12.28515625" style="162" customWidth="1"/>
    <col min="12" max="18" width="9.140625" style="162"/>
    <col min="19" max="19" width="9.42578125" style="162" customWidth="1"/>
    <col min="20" max="16384" width="9.140625" style="162"/>
  </cols>
  <sheetData>
    <row r="2" spans="1:251">
      <c r="A2" s="162"/>
      <c r="D2" s="162"/>
      <c r="F2" s="163" t="s">
        <v>0</v>
      </c>
    </row>
    <row r="3" spans="1:251">
      <c r="A3" s="162"/>
      <c r="D3" s="162"/>
      <c r="F3" s="163" t="s">
        <v>1</v>
      </c>
    </row>
    <row r="4" spans="1:251">
      <c r="A4" s="162"/>
      <c r="D4" s="162"/>
      <c r="F4" s="163" t="s">
        <v>2</v>
      </c>
    </row>
    <row r="5" spans="1:251">
      <c r="F5" s="166"/>
    </row>
    <row r="6" spans="1:251">
      <c r="B6" s="164"/>
      <c r="C6" s="164"/>
      <c r="D6" s="167"/>
      <c r="E6" s="164"/>
      <c r="F6" s="164"/>
      <c r="G6" s="164"/>
      <c r="H6" s="164" t="s">
        <v>3</v>
      </c>
      <c r="I6" s="164" t="s">
        <v>4</v>
      </c>
      <c r="J6" s="164" t="s">
        <v>5</v>
      </c>
      <c r="K6" s="168" t="s">
        <v>5</v>
      </c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/>
      <c r="HF6" s="164"/>
      <c r="HG6" s="164"/>
      <c r="HH6" s="164"/>
      <c r="HI6" s="164"/>
      <c r="HJ6" s="164"/>
      <c r="HK6" s="164"/>
      <c r="HL6" s="164"/>
      <c r="HM6" s="164"/>
      <c r="HN6" s="164"/>
      <c r="HO6" s="164"/>
      <c r="HP6" s="164"/>
      <c r="HQ6" s="164"/>
      <c r="HR6" s="164"/>
      <c r="HS6" s="164"/>
      <c r="HT6" s="164"/>
      <c r="HU6" s="164"/>
      <c r="HV6" s="164"/>
      <c r="HW6" s="164"/>
      <c r="HX6" s="164"/>
      <c r="HY6" s="164"/>
      <c r="HZ6" s="164"/>
      <c r="IA6" s="164"/>
      <c r="IB6" s="164"/>
      <c r="IC6" s="164"/>
      <c r="ID6" s="164"/>
      <c r="IE6" s="164"/>
      <c r="IF6" s="164"/>
      <c r="IG6" s="164"/>
      <c r="IH6" s="164"/>
      <c r="II6" s="164"/>
      <c r="IJ6" s="164"/>
      <c r="IK6" s="164"/>
      <c r="IL6" s="164"/>
      <c r="IM6" s="164"/>
      <c r="IN6" s="164"/>
      <c r="IO6" s="164"/>
      <c r="IP6" s="164"/>
      <c r="IQ6" s="164"/>
    </row>
    <row r="7" spans="1:251">
      <c r="A7" s="169" t="s">
        <v>6</v>
      </c>
      <c r="B7" s="169" t="s">
        <v>7</v>
      </c>
      <c r="C7" s="169" t="s">
        <v>104</v>
      </c>
      <c r="D7" s="170" t="s">
        <v>105</v>
      </c>
      <c r="E7" s="169" t="s">
        <v>8</v>
      </c>
      <c r="F7" s="169" t="s">
        <v>9</v>
      </c>
      <c r="G7" s="169" t="s">
        <v>10</v>
      </c>
      <c r="H7" s="169" t="s">
        <v>11</v>
      </c>
      <c r="I7" s="169" t="s">
        <v>12</v>
      </c>
      <c r="J7" s="170" t="s">
        <v>13</v>
      </c>
      <c r="K7" s="171" t="s">
        <v>14</v>
      </c>
      <c r="L7" s="172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69"/>
      <c r="FF7" s="169"/>
      <c r="FG7" s="169"/>
      <c r="FH7" s="169"/>
      <c r="FI7" s="169"/>
      <c r="FJ7" s="169"/>
      <c r="FK7" s="169"/>
      <c r="FL7" s="169"/>
      <c r="FM7" s="169"/>
      <c r="FN7" s="169"/>
      <c r="FO7" s="169"/>
      <c r="FP7" s="169"/>
      <c r="FQ7" s="169"/>
      <c r="FR7" s="169"/>
      <c r="FS7" s="169"/>
      <c r="FT7" s="169"/>
      <c r="FU7" s="169"/>
      <c r="FV7" s="169"/>
      <c r="FW7" s="169"/>
      <c r="FX7" s="169"/>
      <c r="FY7" s="169"/>
      <c r="FZ7" s="169"/>
      <c r="GA7" s="169"/>
      <c r="GB7" s="169"/>
      <c r="GC7" s="169"/>
      <c r="GD7" s="169"/>
      <c r="GE7" s="169"/>
      <c r="GF7" s="169"/>
      <c r="GG7" s="169"/>
      <c r="GH7" s="169"/>
      <c r="GI7" s="169"/>
      <c r="GJ7" s="169"/>
      <c r="GK7" s="169"/>
      <c r="GL7" s="169"/>
      <c r="GM7" s="169"/>
      <c r="GN7" s="169"/>
      <c r="GO7" s="169"/>
      <c r="GP7" s="169"/>
      <c r="GQ7" s="169"/>
      <c r="GR7" s="169"/>
      <c r="GS7" s="169"/>
      <c r="GT7" s="169"/>
      <c r="GU7" s="169"/>
      <c r="GV7" s="169"/>
      <c r="GW7" s="169"/>
      <c r="GX7" s="169"/>
      <c r="GY7" s="169"/>
      <c r="GZ7" s="169"/>
      <c r="HA7" s="169"/>
      <c r="HB7" s="169"/>
      <c r="HC7" s="169"/>
      <c r="HD7" s="169"/>
      <c r="HE7" s="169"/>
      <c r="HF7" s="169"/>
      <c r="HG7" s="169"/>
      <c r="HH7" s="169"/>
      <c r="HI7" s="169"/>
      <c r="HJ7" s="169"/>
      <c r="HK7" s="169"/>
      <c r="HL7" s="169"/>
      <c r="HM7" s="169"/>
      <c r="HN7" s="169"/>
      <c r="HO7" s="169"/>
      <c r="HP7" s="169"/>
      <c r="HQ7" s="169"/>
      <c r="HR7" s="169"/>
      <c r="HS7" s="169"/>
      <c r="HT7" s="169"/>
      <c r="HU7" s="169"/>
      <c r="HV7" s="169"/>
      <c r="HW7" s="169"/>
      <c r="HX7" s="169"/>
      <c r="HY7" s="169"/>
      <c r="HZ7" s="169"/>
      <c r="IA7" s="169"/>
      <c r="IB7" s="169"/>
      <c r="IC7" s="169"/>
      <c r="ID7" s="169"/>
      <c r="IE7" s="169"/>
      <c r="IF7" s="169"/>
      <c r="IG7" s="169"/>
      <c r="IH7" s="169"/>
      <c r="II7" s="169"/>
      <c r="IJ7" s="169"/>
      <c r="IK7" s="169"/>
      <c r="IL7" s="169"/>
      <c r="IM7" s="169"/>
      <c r="IN7" s="169"/>
      <c r="IO7" s="169"/>
      <c r="IP7" s="169"/>
      <c r="IQ7" s="169"/>
    </row>
    <row r="8" spans="1:251">
      <c r="D8" s="173"/>
      <c r="J8" s="173"/>
      <c r="K8" s="174"/>
    </row>
    <row r="9" spans="1:251">
      <c r="A9" s="164" t="s">
        <v>15</v>
      </c>
      <c r="E9" s="175"/>
      <c r="F9" s="175"/>
      <c r="G9" s="175"/>
      <c r="H9" s="175"/>
      <c r="I9" s="175"/>
      <c r="J9" s="165"/>
      <c r="K9" s="176"/>
    </row>
    <row r="10" spans="1:251">
      <c r="B10" s="162" t="s">
        <v>16</v>
      </c>
      <c r="C10" s="162">
        <v>8539</v>
      </c>
      <c r="D10" s="165">
        <v>12700</v>
      </c>
      <c r="E10" s="175">
        <v>262</v>
      </c>
      <c r="F10" s="175">
        <v>516.70000000000005</v>
      </c>
      <c r="G10" s="175">
        <v>300.7</v>
      </c>
      <c r="H10" s="175">
        <v>0</v>
      </c>
      <c r="I10" s="175">
        <v>145.80000000000001</v>
      </c>
      <c r="J10" s="165">
        <v>6904473</v>
      </c>
      <c r="K10" s="176">
        <v>6100000</v>
      </c>
    </row>
    <row r="11" spans="1:251">
      <c r="A11" s="164" t="s">
        <v>17</v>
      </c>
      <c r="E11" s="175"/>
      <c r="F11" s="175"/>
      <c r="G11" s="175"/>
      <c r="H11" s="175"/>
      <c r="I11" s="175"/>
      <c r="J11" s="165"/>
      <c r="K11" s="176"/>
    </row>
    <row r="12" spans="1:251">
      <c r="B12" s="162" t="s">
        <v>18</v>
      </c>
      <c r="C12" s="162">
        <v>1127</v>
      </c>
      <c r="D12" s="165">
        <v>1200</v>
      </c>
      <c r="E12" s="175">
        <v>0</v>
      </c>
      <c r="F12" s="175">
        <v>0</v>
      </c>
      <c r="G12" s="175">
        <v>0</v>
      </c>
      <c r="H12" s="175">
        <v>0</v>
      </c>
      <c r="I12" s="175">
        <v>0</v>
      </c>
      <c r="J12" s="165">
        <v>0</v>
      </c>
      <c r="K12" s="176">
        <v>0</v>
      </c>
    </row>
    <row r="13" spans="1:251">
      <c r="A13" s="164" t="s">
        <v>19</v>
      </c>
      <c r="E13" s="175"/>
      <c r="F13" s="175"/>
      <c r="G13" s="175"/>
      <c r="H13" s="175"/>
      <c r="I13" s="175"/>
      <c r="J13" s="165"/>
      <c r="K13" s="176"/>
    </row>
    <row r="14" spans="1:251">
      <c r="B14" s="162" t="s">
        <v>20</v>
      </c>
      <c r="C14" s="162">
        <v>2034</v>
      </c>
      <c r="D14" s="165">
        <v>5502</v>
      </c>
      <c r="E14" s="175">
        <v>147</v>
      </c>
      <c r="F14" s="175">
        <v>177.8</v>
      </c>
      <c r="G14" s="175">
        <v>87</v>
      </c>
      <c r="H14" s="175">
        <v>0</v>
      </c>
      <c r="I14" s="175">
        <v>55</v>
      </c>
      <c r="J14" s="165">
        <v>354034</v>
      </c>
      <c r="K14" s="176">
        <v>350000</v>
      </c>
    </row>
    <row r="15" spans="1:251">
      <c r="B15" s="162" t="s">
        <v>21</v>
      </c>
      <c r="C15" s="162">
        <v>1541</v>
      </c>
      <c r="D15" s="165">
        <v>1541</v>
      </c>
      <c r="E15" s="175">
        <v>25.6</v>
      </c>
      <c r="F15" s="175">
        <v>46.6</v>
      </c>
      <c r="G15" s="175">
        <v>71</v>
      </c>
      <c r="H15" s="175">
        <v>0</v>
      </c>
      <c r="I15" s="175">
        <v>65</v>
      </c>
      <c r="J15" s="165">
        <v>62709</v>
      </c>
      <c r="K15" s="176">
        <v>65000</v>
      </c>
    </row>
    <row r="16" spans="1:251">
      <c r="A16" s="164" t="s">
        <v>22</v>
      </c>
      <c r="E16" s="175"/>
      <c r="F16" s="175"/>
      <c r="G16" s="175"/>
      <c r="H16" s="175"/>
      <c r="I16" s="175"/>
      <c r="J16" s="165"/>
      <c r="K16" s="176"/>
    </row>
    <row r="17" spans="1:11">
      <c r="B17" s="162" t="s">
        <v>23</v>
      </c>
      <c r="C17" s="162">
        <v>665</v>
      </c>
      <c r="D17" s="165">
        <v>1490</v>
      </c>
      <c r="E17" s="175">
        <v>22.2</v>
      </c>
      <c r="F17" s="175">
        <v>39.6</v>
      </c>
      <c r="G17" s="175">
        <v>22.7</v>
      </c>
      <c r="H17" s="175">
        <v>0</v>
      </c>
      <c r="I17" s="175">
        <v>72.099999999999994</v>
      </c>
      <c r="J17" s="165">
        <v>227082</v>
      </c>
      <c r="K17" s="176">
        <v>230000</v>
      </c>
    </row>
    <row r="18" spans="1:11">
      <c r="A18" s="164" t="s">
        <v>24</v>
      </c>
      <c r="E18" s="175"/>
      <c r="F18" s="175"/>
      <c r="G18" s="175"/>
      <c r="H18" s="175"/>
      <c r="I18" s="175"/>
      <c r="J18" s="165"/>
      <c r="K18" s="176"/>
    </row>
    <row r="19" spans="1:11">
      <c r="B19" s="162" t="s">
        <v>25</v>
      </c>
      <c r="C19" s="162">
        <v>1000</v>
      </c>
      <c r="D19" s="165">
        <v>956</v>
      </c>
      <c r="E19" s="175">
        <v>0.5</v>
      </c>
      <c r="F19" s="175">
        <v>8.5</v>
      </c>
      <c r="G19" s="175">
        <v>38</v>
      </c>
      <c r="H19" s="175">
        <v>0</v>
      </c>
      <c r="I19" s="175">
        <v>79</v>
      </c>
      <c r="J19" s="165">
        <v>35345</v>
      </c>
      <c r="K19" s="176">
        <v>0</v>
      </c>
    </row>
    <row r="20" spans="1:11">
      <c r="A20" s="164" t="s">
        <v>26</v>
      </c>
      <c r="E20" s="175"/>
      <c r="F20" s="175"/>
      <c r="G20" s="175"/>
      <c r="H20" s="175"/>
      <c r="I20" s="175"/>
      <c r="J20" s="165"/>
      <c r="K20" s="176"/>
    </row>
    <row r="21" spans="1:11">
      <c r="B21" s="162" t="s">
        <v>27</v>
      </c>
      <c r="C21" s="162">
        <v>0</v>
      </c>
      <c r="D21" s="165">
        <v>20614</v>
      </c>
      <c r="E21" s="175">
        <v>419</v>
      </c>
      <c r="F21" s="175">
        <v>926</v>
      </c>
      <c r="G21" s="175">
        <v>600</v>
      </c>
      <c r="H21" s="175">
        <v>8</v>
      </c>
      <c r="I21" s="175">
        <v>493</v>
      </c>
      <c r="J21" s="165">
        <v>7907585</v>
      </c>
      <c r="K21" s="176">
        <v>7900000</v>
      </c>
    </row>
    <row r="22" spans="1:11">
      <c r="A22" s="164" t="s">
        <v>28</v>
      </c>
      <c r="E22" s="175"/>
      <c r="F22" s="175"/>
      <c r="G22" s="175"/>
      <c r="H22" s="175"/>
      <c r="I22" s="175"/>
      <c r="J22" s="165"/>
      <c r="K22" s="176"/>
    </row>
    <row r="23" spans="1:11">
      <c r="B23" s="162" t="s">
        <v>29</v>
      </c>
      <c r="C23" s="162">
        <v>4613</v>
      </c>
      <c r="D23" s="165">
        <v>13350</v>
      </c>
      <c r="E23" s="175">
        <v>331.6</v>
      </c>
      <c r="F23" s="175">
        <v>773.2</v>
      </c>
      <c r="G23" s="175">
        <v>340.9</v>
      </c>
      <c r="H23" s="175">
        <v>117.7</v>
      </c>
      <c r="I23" s="175">
        <v>702.7</v>
      </c>
      <c r="J23" s="165">
        <v>3458589</v>
      </c>
      <c r="K23" s="176">
        <v>3350000</v>
      </c>
    </row>
    <row r="24" spans="1:11">
      <c r="A24" s="164" t="s">
        <v>30</v>
      </c>
      <c r="E24" s="175"/>
      <c r="F24" s="175"/>
      <c r="G24" s="175"/>
      <c r="H24" s="175"/>
      <c r="I24" s="175"/>
      <c r="J24" s="165"/>
      <c r="K24" s="176"/>
    </row>
    <row r="25" spans="1:11">
      <c r="B25" s="162" t="s">
        <v>31</v>
      </c>
      <c r="C25" s="162">
        <v>7025</v>
      </c>
      <c r="D25" s="165">
        <v>10915</v>
      </c>
      <c r="E25" s="175">
        <v>260.18</v>
      </c>
      <c r="F25" s="175">
        <v>270.06</v>
      </c>
      <c r="G25" s="175">
        <v>292.08999999999997</v>
      </c>
      <c r="H25" s="175">
        <v>0</v>
      </c>
      <c r="I25" s="175">
        <v>392.7</v>
      </c>
      <c r="J25" s="165">
        <v>3121279</v>
      </c>
      <c r="K25" s="176">
        <v>2940000</v>
      </c>
    </row>
    <row r="26" spans="1:11">
      <c r="A26" s="164" t="s">
        <v>32</v>
      </c>
      <c r="E26" s="175"/>
      <c r="F26" s="175"/>
      <c r="G26" s="175"/>
      <c r="H26" s="175"/>
      <c r="I26" s="175"/>
      <c r="J26" s="165"/>
      <c r="K26" s="176"/>
    </row>
    <row r="27" spans="1:11">
      <c r="B27" s="162" t="s">
        <v>33</v>
      </c>
      <c r="C27" s="162">
        <v>6369</v>
      </c>
      <c r="D27" s="165">
        <v>10881</v>
      </c>
      <c r="E27" s="175">
        <v>0</v>
      </c>
      <c r="F27" s="175">
        <v>0</v>
      </c>
      <c r="G27" s="175">
        <v>150.6</v>
      </c>
      <c r="H27" s="175">
        <v>0</v>
      </c>
      <c r="I27" s="175">
        <v>670</v>
      </c>
      <c r="J27" s="165">
        <v>0</v>
      </c>
      <c r="K27" s="176">
        <v>0</v>
      </c>
    </row>
    <row r="28" spans="1:11">
      <c r="B28" s="162" t="s">
        <v>34</v>
      </c>
      <c r="D28" s="165">
        <v>6950</v>
      </c>
      <c r="E28" s="175">
        <v>284.8</v>
      </c>
      <c r="F28" s="175">
        <v>621.79999999999995</v>
      </c>
      <c r="G28" s="175">
        <v>201.1</v>
      </c>
      <c r="H28" s="175">
        <v>288</v>
      </c>
      <c r="I28" s="175">
        <v>0</v>
      </c>
      <c r="J28" s="165">
        <v>3541201</v>
      </c>
      <c r="K28" s="176">
        <v>3600000</v>
      </c>
    </row>
    <row r="29" spans="1:11">
      <c r="A29" s="164" t="s">
        <v>35</v>
      </c>
      <c r="E29" s="175"/>
      <c r="F29" s="175"/>
      <c r="G29" s="175"/>
      <c r="H29" s="175"/>
      <c r="I29" s="175"/>
      <c r="J29" s="165"/>
      <c r="K29" s="176"/>
    </row>
    <row r="30" spans="1:11">
      <c r="B30" s="162" t="s">
        <v>36</v>
      </c>
      <c r="C30" s="162">
        <v>10366</v>
      </c>
      <c r="D30" s="165">
        <v>12884</v>
      </c>
      <c r="E30" s="175">
        <v>283</v>
      </c>
      <c r="F30" s="175">
        <v>484</v>
      </c>
      <c r="G30" s="175">
        <v>266</v>
      </c>
      <c r="H30" s="175">
        <v>453</v>
      </c>
      <c r="I30" s="175">
        <v>484</v>
      </c>
      <c r="J30" s="165">
        <v>5126860</v>
      </c>
      <c r="K30" s="176">
        <v>5504419</v>
      </c>
    </row>
    <row r="31" spans="1:11">
      <c r="B31" s="162" t="s">
        <v>37</v>
      </c>
      <c r="C31" s="162">
        <v>22753</v>
      </c>
      <c r="D31" s="165">
        <v>26905</v>
      </c>
      <c r="E31" s="175">
        <v>460</v>
      </c>
      <c r="F31" s="175">
        <v>736</v>
      </c>
      <c r="G31" s="175">
        <v>485</v>
      </c>
      <c r="H31" s="175">
        <v>0</v>
      </c>
      <c r="I31" s="175">
        <v>980</v>
      </c>
      <c r="J31" s="165">
        <v>9123251</v>
      </c>
      <c r="K31" s="176">
        <v>7307964</v>
      </c>
    </row>
    <row r="32" spans="1:11">
      <c r="B32" s="162" t="s">
        <v>38</v>
      </c>
      <c r="D32" s="165">
        <v>12064</v>
      </c>
      <c r="E32" s="175">
        <v>297</v>
      </c>
      <c r="F32" s="175">
        <v>660</v>
      </c>
      <c r="G32" s="175">
        <v>421</v>
      </c>
      <c r="H32" s="175">
        <v>0</v>
      </c>
      <c r="I32" s="175">
        <v>258</v>
      </c>
      <c r="J32" s="165">
        <v>4139252</v>
      </c>
      <c r="K32" s="176">
        <v>5856036</v>
      </c>
    </row>
    <row r="33" spans="1:251">
      <c r="B33" s="162" t="s">
        <v>39</v>
      </c>
      <c r="C33" s="162">
        <v>15893</v>
      </c>
      <c r="D33" s="165">
        <v>14499</v>
      </c>
      <c r="E33" s="175">
        <v>371</v>
      </c>
      <c r="F33" s="175">
        <v>1002</v>
      </c>
      <c r="G33" s="175">
        <v>658</v>
      </c>
      <c r="H33" s="175">
        <v>0</v>
      </c>
      <c r="I33" s="175">
        <v>451</v>
      </c>
      <c r="J33" s="165">
        <v>6462837</v>
      </c>
      <c r="K33" s="176">
        <v>5576000</v>
      </c>
    </row>
    <row r="34" spans="1:251">
      <c r="B34" s="162" t="s">
        <v>40</v>
      </c>
      <c r="D34" s="165">
        <v>2330</v>
      </c>
      <c r="E34" s="175">
        <v>108</v>
      </c>
      <c r="F34" s="175">
        <v>560</v>
      </c>
      <c r="G34" s="175">
        <v>62</v>
      </c>
      <c r="H34" s="175">
        <v>0</v>
      </c>
      <c r="I34" s="175">
        <v>50</v>
      </c>
      <c r="J34" s="165">
        <v>2356384</v>
      </c>
      <c r="K34" s="176">
        <v>0</v>
      </c>
    </row>
    <row r="35" spans="1:251">
      <c r="B35" s="162" t="s">
        <v>41</v>
      </c>
      <c r="D35" s="165">
        <v>12390</v>
      </c>
      <c r="E35" s="175">
        <v>153</v>
      </c>
      <c r="F35" s="175">
        <v>542</v>
      </c>
      <c r="G35" s="175">
        <v>58</v>
      </c>
      <c r="H35" s="175">
        <v>0</v>
      </c>
      <c r="I35" s="175">
        <v>58</v>
      </c>
      <c r="J35" s="165">
        <v>1875252</v>
      </c>
      <c r="K35" s="176">
        <v>1214000</v>
      </c>
    </row>
    <row r="36" spans="1:251">
      <c r="A36" s="164" t="s">
        <v>42</v>
      </c>
      <c r="E36" s="175"/>
      <c r="F36" s="175"/>
      <c r="G36" s="175"/>
      <c r="H36" s="175"/>
      <c r="I36" s="175"/>
      <c r="J36" s="165"/>
      <c r="K36" s="176"/>
    </row>
    <row r="37" spans="1:251">
      <c r="B37" s="162" t="s">
        <v>43</v>
      </c>
      <c r="C37" s="162">
        <v>0</v>
      </c>
      <c r="D37" s="165">
        <v>5183</v>
      </c>
      <c r="E37" s="175">
        <v>118.76</v>
      </c>
      <c r="F37" s="175">
        <v>346.03</v>
      </c>
      <c r="G37" s="175">
        <v>52.72</v>
      </c>
      <c r="H37" s="175">
        <v>0</v>
      </c>
      <c r="I37" s="175">
        <v>125.04</v>
      </c>
      <c r="J37" s="165">
        <v>1782139</v>
      </c>
      <c r="K37" s="176">
        <v>1625300</v>
      </c>
    </row>
    <row r="38" spans="1:251">
      <c r="B38" s="162" t="s">
        <v>94</v>
      </c>
      <c r="C38" s="162">
        <v>3328</v>
      </c>
      <c r="E38" s="175"/>
      <c r="F38" s="175"/>
      <c r="G38" s="175"/>
      <c r="H38" s="175"/>
      <c r="I38" s="175"/>
      <c r="J38" s="175"/>
      <c r="K38" s="174"/>
    </row>
    <row r="39" spans="1:251">
      <c r="A39" s="164" t="s">
        <v>44</v>
      </c>
      <c r="B39" s="164"/>
      <c r="C39" s="167">
        <f t="shared" ref="C39:K39" si="0">SUM(C10:C38)</f>
        <v>85253</v>
      </c>
      <c r="D39" s="167">
        <f t="shared" si="0"/>
        <v>172354</v>
      </c>
      <c r="E39" s="167">
        <f t="shared" si="0"/>
        <v>3543.6400000000003</v>
      </c>
      <c r="F39" s="167">
        <f t="shared" si="0"/>
        <v>7710.29</v>
      </c>
      <c r="G39" s="167">
        <f t="shared" si="0"/>
        <v>4106.8100000000004</v>
      </c>
      <c r="H39" s="167">
        <f t="shared" si="0"/>
        <v>866.7</v>
      </c>
      <c r="I39" s="167">
        <f t="shared" si="0"/>
        <v>5081.34</v>
      </c>
      <c r="J39" s="167">
        <f t="shared" si="0"/>
        <v>56478272</v>
      </c>
      <c r="K39" s="177">
        <f t="shared" si="0"/>
        <v>51618719</v>
      </c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  <c r="AZ39" s="164"/>
      <c r="BA39" s="164"/>
      <c r="BB39" s="164"/>
      <c r="BC39" s="164"/>
      <c r="BD39" s="164"/>
      <c r="BE39" s="164"/>
      <c r="BF39" s="164"/>
      <c r="BG39" s="164"/>
      <c r="BH39" s="164"/>
      <c r="BI39" s="164"/>
      <c r="BJ39" s="164"/>
      <c r="BK39" s="164"/>
      <c r="BL39" s="164"/>
      <c r="BM39" s="164"/>
      <c r="BN39" s="164"/>
      <c r="BO39" s="164"/>
      <c r="BP39" s="164"/>
      <c r="BQ39" s="164"/>
      <c r="BR39" s="164"/>
      <c r="BS39" s="164"/>
      <c r="BT39" s="164"/>
      <c r="BU39" s="164"/>
      <c r="BV39" s="164"/>
      <c r="BW39" s="164"/>
      <c r="BX39" s="164"/>
      <c r="BY39" s="164"/>
      <c r="BZ39" s="164"/>
      <c r="CA39" s="164"/>
      <c r="CB39" s="164"/>
      <c r="CC39" s="164"/>
      <c r="CD39" s="164"/>
      <c r="CE39" s="164"/>
      <c r="CF39" s="164"/>
      <c r="CG39" s="164"/>
      <c r="CH39" s="164"/>
      <c r="CI39" s="164"/>
      <c r="CJ39" s="164"/>
      <c r="CK39" s="164"/>
      <c r="CL39" s="164"/>
      <c r="CM39" s="164"/>
      <c r="CN39" s="164"/>
      <c r="CO39" s="164"/>
      <c r="CP39" s="164"/>
      <c r="CQ39" s="164"/>
      <c r="CR39" s="164"/>
      <c r="CS39" s="164"/>
      <c r="CT39" s="164"/>
      <c r="CU39" s="164"/>
      <c r="CV39" s="164"/>
      <c r="CW39" s="164"/>
      <c r="CX39" s="164"/>
      <c r="CY39" s="164"/>
      <c r="CZ39" s="164"/>
      <c r="DA39" s="164"/>
      <c r="DB39" s="164"/>
      <c r="DC39" s="164"/>
      <c r="DD39" s="164"/>
      <c r="DE39" s="164"/>
      <c r="DF39" s="164"/>
      <c r="DG39" s="164"/>
      <c r="DH39" s="164"/>
      <c r="DI39" s="164"/>
      <c r="DJ39" s="164"/>
      <c r="DK39" s="164"/>
      <c r="DL39" s="164"/>
      <c r="DM39" s="164"/>
      <c r="DN39" s="164"/>
      <c r="DO39" s="164"/>
      <c r="DP39" s="164"/>
      <c r="DQ39" s="164"/>
      <c r="DR39" s="164"/>
      <c r="DS39" s="164"/>
      <c r="DT39" s="164"/>
      <c r="DU39" s="164"/>
      <c r="DV39" s="164"/>
      <c r="DW39" s="164"/>
      <c r="DX39" s="164"/>
      <c r="DY39" s="164"/>
      <c r="DZ39" s="164"/>
      <c r="EA39" s="164"/>
      <c r="EB39" s="164"/>
      <c r="EC39" s="164"/>
      <c r="ED39" s="164"/>
      <c r="EE39" s="164"/>
      <c r="EF39" s="164"/>
      <c r="EG39" s="164"/>
      <c r="EH39" s="164"/>
      <c r="EI39" s="164"/>
      <c r="EJ39" s="164"/>
      <c r="EK39" s="164"/>
      <c r="EL39" s="164"/>
      <c r="EM39" s="164"/>
      <c r="EN39" s="164"/>
      <c r="EO39" s="164"/>
      <c r="EP39" s="164"/>
      <c r="EQ39" s="164"/>
      <c r="ER39" s="164"/>
      <c r="ES39" s="164"/>
      <c r="ET39" s="164"/>
      <c r="EU39" s="164"/>
      <c r="EV39" s="164"/>
      <c r="EW39" s="164"/>
      <c r="EX39" s="164"/>
      <c r="EY39" s="164"/>
      <c r="EZ39" s="164"/>
      <c r="FA39" s="164"/>
      <c r="FB39" s="164"/>
      <c r="FC39" s="164"/>
      <c r="FD39" s="164"/>
      <c r="FE39" s="164"/>
      <c r="FF39" s="164"/>
      <c r="FG39" s="164"/>
      <c r="FH39" s="164"/>
      <c r="FI39" s="164"/>
      <c r="FJ39" s="164"/>
      <c r="FK39" s="164"/>
      <c r="FL39" s="164"/>
      <c r="FM39" s="164"/>
      <c r="FN39" s="164"/>
      <c r="FO39" s="164"/>
      <c r="FP39" s="164"/>
      <c r="FQ39" s="164"/>
      <c r="FR39" s="164"/>
      <c r="FS39" s="164"/>
      <c r="FT39" s="164"/>
      <c r="FU39" s="164"/>
      <c r="FV39" s="164"/>
      <c r="FW39" s="164"/>
      <c r="FX39" s="164"/>
      <c r="FY39" s="164"/>
      <c r="FZ39" s="164"/>
      <c r="GA39" s="164"/>
      <c r="GB39" s="164"/>
      <c r="GC39" s="164"/>
      <c r="GD39" s="164"/>
      <c r="GE39" s="164"/>
      <c r="GF39" s="164"/>
      <c r="GG39" s="164"/>
      <c r="GH39" s="164"/>
      <c r="GI39" s="164"/>
      <c r="GJ39" s="164"/>
      <c r="GK39" s="164"/>
      <c r="GL39" s="164"/>
      <c r="GM39" s="164"/>
      <c r="GN39" s="164"/>
      <c r="GO39" s="164"/>
      <c r="GP39" s="164"/>
      <c r="GQ39" s="164"/>
      <c r="GR39" s="164"/>
      <c r="GS39" s="164"/>
      <c r="GT39" s="164"/>
      <c r="GU39" s="164"/>
      <c r="GV39" s="164"/>
      <c r="GW39" s="164"/>
      <c r="GX39" s="164"/>
      <c r="GY39" s="164"/>
      <c r="GZ39" s="164"/>
      <c r="HA39" s="164"/>
      <c r="HB39" s="164"/>
      <c r="HC39" s="164"/>
      <c r="HD39" s="164"/>
      <c r="HE39" s="164"/>
      <c r="HF39" s="164"/>
      <c r="HG39" s="164"/>
      <c r="HH39" s="164"/>
      <c r="HI39" s="164"/>
      <c r="HJ39" s="164"/>
      <c r="HK39" s="164"/>
      <c r="HL39" s="164"/>
      <c r="HM39" s="164"/>
      <c r="HN39" s="164"/>
      <c r="HO39" s="164"/>
      <c r="HP39" s="164"/>
      <c r="HQ39" s="164"/>
      <c r="HR39" s="164"/>
      <c r="HS39" s="164"/>
      <c r="HT39" s="164"/>
      <c r="HU39" s="164"/>
      <c r="HV39" s="164"/>
      <c r="HW39" s="164"/>
      <c r="HX39" s="164"/>
      <c r="HY39" s="164"/>
      <c r="HZ39" s="164"/>
      <c r="IA39" s="164"/>
      <c r="IB39" s="164"/>
      <c r="IC39" s="164"/>
      <c r="ID39" s="164"/>
      <c r="IE39" s="164"/>
      <c r="IF39" s="164"/>
      <c r="IG39" s="164"/>
      <c r="IH39" s="164"/>
      <c r="II39" s="164"/>
      <c r="IJ39" s="164"/>
      <c r="IK39" s="164"/>
      <c r="IL39" s="164"/>
      <c r="IM39" s="164"/>
      <c r="IN39" s="164"/>
      <c r="IO39" s="164"/>
      <c r="IP39" s="164"/>
      <c r="IQ39" s="164"/>
    </row>
    <row r="40" spans="1:251">
      <c r="E40" s="175"/>
      <c r="F40" s="175"/>
      <c r="G40" s="175"/>
      <c r="H40" s="175"/>
      <c r="I40" s="175"/>
      <c r="J40" s="175"/>
      <c r="K40" s="174"/>
    </row>
    <row r="41" spans="1:251">
      <c r="E41" s="175"/>
      <c r="F41" s="175"/>
      <c r="G41" s="175"/>
      <c r="H41" s="175"/>
      <c r="I41" s="175"/>
      <c r="J41" s="175"/>
    </row>
    <row r="42" spans="1:251">
      <c r="E42" s="175"/>
      <c r="F42" s="175"/>
      <c r="G42" s="175"/>
      <c r="H42" s="175"/>
      <c r="I42" s="175"/>
      <c r="J42" s="175"/>
    </row>
    <row r="43" spans="1:251">
      <c r="E43" s="175"/>
      <c r="F43" s="175"/>
      <c r="G43" s="175"/>
      <c r="H43" s="175"/>
      <c r="I43" s="175"/>
      <c r="J43" s="175"/>
    </row>
    <row r="44" spans="1:251">
      <c r="E44" s="175"/>
      <c r="F44" s="175"/>
      <c r="G44" s="175"/>
      <c r="H44" s="175"/>
      <c r="I44" s="175"/>
      <c r="J44" s="175"/>
    </row>
  </sheetData>
  <phoneticPr fontId="0" type="noConversion"/>
  <printOptions horizontalCentered="1"/>
  <pageMargins left="0.4" right="0.4" top="1.19" bottom="0.33333333333333331" header="0.63" footer="0.33333333333333331"/>
  <pageSetup orientation="portrait" horizontalDpi="300" copies="16" r:id="rId1"/>
  <headerFooter alignWithMargins="0">
    <oddHeader xml:space="preserve">&amp;L&amp;"Arial,Bold"&amp;16 
&amp;C&amp;"Arial,Bold"&amp;16 RAILROAD COMMISSION OF TEXAS
SUMMARY OF ANNUAL COAL PRODUCTION&amp;R&amp;"Arial,Bold"&amp;16 
</oddHeader>
    <oddFooter>&amp;L&amp;"Arial,Bold"&amp;16 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C56"/>
  <sheetViews>
    <sheetView zoomScaleNormal="100" workbookViewId="0">
      <selection sqref="A1:B2"/>
    </sheetView>
  </sheetViews>
  <sheetFormatPr defaultColWidth="0.85546875" defaultRowHeight="12.75"/>
  <cols>
    <col min="1" max="1" width="3.28515625" customWidth="1"/>
    <col min="2" max="2" width="2.140625" customWidth="1"/>
    <col min="3" max="3" width="9.42578125" style="458" customWidth="1"/>
    <col min="4" max="4" width="8.85546875" style="458" customWidth="1"/>
    <col min="5" max="5" width="10.28515625" style="462" customWidth="1"/>
    <col min="6" max="6" width="10" style="462" customWidth="1"/>
    <col min="7" max="7" width="3.140625" style="462" customWidth="1"/>
    <col min="8" max="8" width="9" style="458" customWidth="1"/>
    <col min="9" max="9" width="6.7109375" style="458" customWidth="1"/>
    <col min="10" max="10" width="2.5703125" style="458" customWidth="1"/>
    <col min="11" max="11" width="9.28515625" style="458" customWidth="1"/>
    <col min="12" max="12" width="1.5703125" style="460" customWidth="1"/>
    <col min="13" max="13" width="5.85546875" style="460" customWidth="1"/>
    <col min="14" max="14" width="13.85546875" style="987" customWidth="1"/>
    <col min="15" max="15" width="9.28515625" style="987" customWidth="1"/>
    <col min="16" max="16" width="14.85546875" style="987" customWidth="1"/>
    <col min="17" max="17" width="14.7109375" style="987" customWidth="1"/>
    <col min="18" max="18" width="11.42578125" style="987" customWidth="1"/>
    <col min="19" max="20" width="10.7109375" style="987" customWidth="1"/>
    <col min="21" max="21" width="11.7109375" style="987" customWidth="1"/>
    <col min="22" max="22" width="8.28515625" style="987" customWidth="1"/>
    <col min="23" max="23" width="10.42578125" style="988" bestFit="1" customWidth="1"/>
    <col min="24" max="24" width="10.5703125" style="988" customWidth="1"/>
    <col min="25" max="25" width="11.5703125" style="988" customWidth="1"/>
    <col min="26" max="26" width="11.5703125" style="987" customWidth="1"/>
    <col min="27" max="28" width="10.5703125" style="987" customWidth="1"/>
    <col min="29" max="29" width="12.7109375" style="987" customWidth="1"/>
    <col min="30" max="82" width="2.7109375" customWidth="1"/>
  </cols>
  <sheetData>
    <row r="1" spans="2:29" ht="15" customHeight="1">
      <c r="B1" s="1904" t="s">
        <v>286</v>
      </c>
      <c r="C1" s="1904"/>
      <c r="D1" s="1904"/>
      <c r="E1" s="1904"/>
      <c r="F1" s="1904"/>
      <c r="G1" s="1904"/>
      <c r="H1" s="1904"/>
      <c r="I1" s="1904"/>
      <c r="J1" s="1904"/>
      <c r="K1" s="1904"/>
      <c r="L1" s="1904"/>
      <c r="N1" s="1751" t="s">
        <v>578</v>
      </c>
      <c r="O1" s="1724"/>
      <c r="P1" s="1724"/>
      <c r="Q1" s="1724"/>
      <c r="R1" s="1724"/>
      <c r="S1" s="1724"/>
      <c r="T1" s="1724"/>
      <c r="U1" s="1724"/>
      <c r="V1" s="1724"/>
      <c r="W1" s="1725"/>
      <c r="X1" s="1725"/>
      <c r="Y1" s="1725"/>
      <c r="Z1" s="1724"/>
      <c r="AA1" s="1724"/>
      <c r="AB1" s="1724"/>
      <c r="AC1" s="1726"/>
    </row>
    <row r="2" spans="2:29" s="459" customFormat="1" ht="41.25" customHeight="1">
      <c r="B2" s="1466"/>
      <c r="C2" s="1923" t="s">
        <v>189</v>
      </c>
      <c r="D2" s="1910" t="s">
        <v>587</v>
      </c>
      <c r="E2" s="1911"/>
      <c r="F2" s="1911"/>
      <c r="G2" s="1913" t="s">
        <v>570</v>
      </c>
      <c r="H2" s="1913"/>
      <c r="I2" s="1913"/>
      <c r="J2" s="1913" t="s">
        <v>569</v>
      </c>
      <c r="K2" s="1913"/>
      <c r="L2" s="1489"/>
      <c r="M2" s="463"/>
      <c r="N2" s="1727" t="s">
        <v>583</v>
      </c>
      <c r="O2" s="1728"/>
      <c r="P2" s="1922" t="s">
        <v>268</v>
      </c>
      <c r="Q2" s="1922"/>
      <c r="R2" s="1922"/>
      <c r="S2" s="1922"/>
      <c r="T2" s="1922"/>
      <c r="U2" s="1922"/>
      <c r="V2" s="1922"/>
      <c r="W2" s="1729" t="s">
        <v>285</v>
      </c>
      <c r="X2" s="1729" t="s">
        <v>302</v>
      </c>
      <c r="Y2" s="1729" t="s">
        <v>317</v>
      </c>
      <c r="Z2" s="1729" t="s">
        <v>329</v>
      </c>
      <c r="AA2" s="1729" t="s">
        <v>337</v>
      </c>
      <c r="AB2" s="1728"/>
      <c r="AC2" s="1730"/>
    </row>
    <row r="3" spans="2:29" s="459" customFormat="1" ht="6" customHeight="1">
      <c r="B3" s="1487"/>
      <c r="C3" s="1924"/>
      <c r="D3" s="1912"/>
      <c r="E3" s="1912"/>
      <c r="F3" s="1912"/>
      <c r="G3" s="1912"/>
      <c r="H3" s="1912"/>
      <c r="I3" s="1912"/>
      <c r="J3" s="1912"/>
      <c r="K3" s="1912"/>
      <c r="L3" s="1488"/>
      <c r="M3" s="463"/>
      <c r="N3" s="1727"/>
      <c r="O3" s="1728"/>
      <c r="P3" s="1731"/>
      <c r="Q3" s="1731"/>
      <c r="R3" s="1731"/>
      <c r="S3" s="1731"/>
      <c r="T3" s="1731"/>
      <c r="U3" s="1731"/>
      <c r="V3" s="1731"/>
      <c r="W3" s="1729"/>
      <c r="X3" s="1729"/>
      <c r="Y3" s="1729"/>
      <c r="Z3" s="1729"/>
      <c r="AA3" s="1729"/>
      <c r="AB3" s="1728"/>
      <c r="AC3" s="1730"/>
    </row>
    <row r="4" spans="2:29">
      <c r="B4" s="1467"/>
      <c r="C4" s="1468">
        <v>2010</v>
      </c>
      <c r="D4" s="1468"/>
      <c r="E4" s="1469">
        <f>'Annual Production thru 2021'!AK51/1000000</f>
        <v>41.419857</v>
      </c>
      <c r="F4" s="1469"/>
      <c r="G4" s="1469"/>
      <c r="H4" s="1469">
        <f>(('Annual Production thru 2021'!AK52))/1000000</f>
        <v>41.041525399999998</v>
      </c>
      <c r="I4" s="1469"/>
      <c r="J4" s="1469"/>
      <c r="K4" s="1795">
        <f t="shared" ref="K4:K15" si="0">H4/E4</f>
        <v>0.99086593659654587</v>
      </c>
      <c r="L4" s="1470"/>
      <c r="N4" s="1719"/>
      <c r="O4" s="1732">
        <v>2002</v>
      </c>
      <c r="P4" s="1732">
        <v>2003</v>
      </c>
      <c r="Q4" s="1732">
        <v>2004</v>
      </c>
      <c r="R4" s="1732">
        <v>2005</v>
      </c>
      <c r="S4" s="1732">
        <v>2006</v>
      </c>
      <c r="T4" s="1732">
        <v>2007</v>
      </c>
      <c r="U4" s="1732">
        <v>2008</v>
      </c>
      <c r="V4" s="1732">
        <v>2009</v>
      </c>
      <c r="W4" s="1733">
        <v>2010</v>
      </c>
      <c r="X4" s="1733">
        <v>2011</v>
      </c>
      <c r="Y4" s="1732">
        <v>2012</v>
      </c>
      <c r="Z4" s="1732">
        <v>2013</v>
      </c>
      <c r="AA4" s="1732">
        <v>2014</v>
      </c>
      <c r="AB4" s="1732" t="s">
        <v>571</v>
      </c>
      <c r="AC4" s="1734" t="s">
        <v>392</v>
      </c>
    </row>
    <row r="5" spans="2:29">
      <c r="B5" s="1467"/>
      <c r="C5" s="1468">
        <v>2011</v>
      </c>
      <c r="D5" s="1468"/>
      <c r="E5" s="1469">
        <f>'Annual Production thru 2021'!AM51/1000000</f>
        <v>45.587403999999999</v>
      </c>
      <c r="F5" s="1469"/>
      <c r="G5" s="1469"/>
      <c r="H5" s="1469">
        <f>(('Annual Production thru 2021'!AM52))/1000000</f>
        <v>45.2594651</v>
      </c>
      <c r="I5" s="1469"/>
      <c r="J5" s="1469"/>
      <c r="K5" s="1795">
        <f t="shared" si="0"/>
        <v>0.99280637037371111</v>
      </c>
      <c r="L5" s="1470"/>
      <c r="N5" s="1719"/>
      <c r="O5" s="1720" t="s">
        <v>254</v>
      </c>
      <c r="P5" s="1720" t="s">
        <v>254</v>
      </c>
      <c r="Q5" s="1720" t="s">
        <v>254</v>
      </c>
      <c r="R5" s="1720" t="s">
        <v>254</v>
      </c>
      <c r="S5" s="1720" t="s">
        <v>254</v>
      </c>
      <c r="T5" s="1720" t="s">
        <v>254</v>
      </c>
      <c r="U5" s="1720" t="s">
        <v>254</v>
      </c>
      <c r="V5" s="1720" t="s">
        <v>254</v>
      </c>
      <c r="W5" s="1735" t="s">
        <v>254</v>
      </c>
      <c r="X5" s="1735" t="s">
        <v>254</v>
      </c>
      <c r="Y5" s="1735" t="s">
        <v>254</v>
      </c>
      <c r="Z5" s="1735" t="s">
        <v>254</v>
      </c>
      <c r="AA5" s="1735" t="s">
        <v>254</v>
      </c>
      <c r="AB5" s="1735" t="s">
        <v>254</v>
      </c>
      <c r="AC5" s="1736" t="s">
        <v>254</v>
      </c>
    </row>
    <row r="6" spans="2:29">
      <c r="B6" s="1467"/>
      <c r="C6" s="1468">
        <v>2012</v>
      </c>
      <c r="D6" s="1468"/>
      <c r="E6" s="1469">
        <f>'Annual Production thru 2021'!AN51/1000000</f>
        <v>43.536175999999998</v>
      </c>
      <c r="F6" s="1469"/>
      <c r="G6" s="1469"/>
      <c r="H6" s="1469">
        <f>(('Annual Production thru 2021'!AN52))/1000000</f>
        <v>43.247599999999998</v>
      </c>
      <c r="I6" s="1469"/>
      <c r="J6" s="1469"/>
      <c r="K6" s="1795">
        <f t="shared" si="0"/>
        <v>0.99337158137177695</v>
      </c>
      <c r="L6" s="1470"/>
      <c r="N6" s="1719" t="s">
        <v>255</v>
      </c>
      <c r="O6" s="1737">
        <v>20487</v>
      </c>
      <c r="P6" s="1737">
        <v>21006</v>
      </c>
      <c r="Q6" s="1737">
        <v>26968</v>
      </c>
      <c r="R6" s="1737">
        <v>19894</v>
      </c>
      <c r="S6" s="1737">
        <v>17798</v>
      </c>
      <c r="T6" s="1737">
        <v>27120</v>
      </c>
      <c r="U6" s="1737">
        <v>17104</v>
      </c>
      <c r="V6" s="1737">
        <v>19723</v>
      </c>
      <c r="W6" s="1738">
        <v>27626.9</v>
      </c>
      <c r="X6" s="1737">
        <v>27626.9</v>
      </c>
      <c r="Y6" s="1738"/>
      <c r="Z6" s="1739"/>
      <c r="AA6" s="1738"/>
      <c r="AB6" s="1739"/>
      <c r="AC6" s="1740"/>
    </row>
    <row r="7" spans="2:29">
      <c r="B7" s="1467"/>
      <c r="C7" s="1468">
        <v>2013</v>
      </c>
      <c r="D7" s="1468"/>
      <c r="E7" s="1469">
        <f>'Annual Production thru 2021'!AO51/1000000</f>
        <v>42.449593999999998</v>
      </c>
      <c r="F7" s="1469"/>
      <c r="G7" s="1469"/>
      <c r="H7" s="1469">
        <f>(('Annual Production thru 2021'!AO52))/1000000</f>
        <v>42.200966999999999</v>
      </c>
      <c r="I7" s="1469"/>
      <c r="J7" s="1469"/>
      <c r="K7" s="1795">
        <f t="shared" si="0"/>
        <v>0.99414300640896591</v>
      </c>
      <c r="L7" s="1470"/>
      <c r="N7" s="1719" t="s">
        <v>256</v>
      </c>
      <c r="O7" s="1737">
        <v>16630</v>
      </c>
      <c r="P7" s="1737">
        <v>23020</v>
      </c>
      <c r="Q7" s="1737">
        <v>24834</v>
      </c>
      <c r="R7" s="1737">
        <v>22438</v>
      </c>
      <c r="S7" s="1737">
        <v>17025</v>
      </c>
      <c r="T7" s="1737">
        <v>19223</v>
      </c>
      <c r="U7" s="1737">
        <v>20255</v>
      </c>
      <c r="V7" s="1737">
        <v>21137</v>
      </c>
      <c r="W7" s="1738">
        <v>24781.8</v>
      </c>
      <c r="X7" s="1737">
        <v>22496.400000000001</v>
      </c>
      <c r="Y7" s="1738"/>
      <c r="Z7" s="1739"/>
      <c r="AA7" s="1738"/>
      <c r="AB7" s="1731" t="s">
        <v>572</v>
      </c>
      <c r="AC7" s="1740"/>
    </row>
    <row r="8" spans="2:29">
      <c r="B8" s="1471"/>
      <c r="C8" s="1468">
        <v>2014</v>
      </c>
      <c r="D8" s="1468"/>
      <c r="E8" s="1469">
        <f>'Annual Production thru 2021'!AP51/1000000</f>
        <v>43.633881000000002</v>
      </c>
      <c r="F8" s="1469"/>
      <c r="G8" s="1469"/>
      <c r="H8" s="1469">
        <f>(('Annual Production thru 2021'!AP52))/1000000</f>
        <v>43.372627000000001</v>
      </c>
      <c r="I8" s="1469"/>
      <c r="J8" s="1469"/>
      <c r="K8" s="1795">
        <f t="shared" si="0"/>
        <v>0.99401258852037477</v>
      </c>
      <c r="L8" s="1470"/>
      <c r="N8" s="1719" t="s">
        <v>257</v>
      </c>
      <c r="O8" s="1737">
        <v>17628</v>
      </c>
      <c r="P8" s="1737">
        <v>24445</v>
      </c>
      <c r="Q8" s="1737">
        <v>22991</v>
      </c>
      <c r="R8" s="1737">
        <v>24735</v>
      </c>
      <c r="S8" s="1737">
        <v>25532</v>
      </c>
      <c r="T8" s="1737">
        <v>25166</v>
      </c>
      <c r="U8" s="1737">
        <v>22573</v>
      </c>
      <c r="V8" s="1737">
        <v>23678</v>
      </c>
      <c r="W8" s="1738">
        <v>30814.400000000001</v>
      </c>
      <c r="X8" s="1737">
        <v>30822.5</v>
      </c>
      <c r="Y8" s="1738"/>
      <c r="Z8" s="1739"/>
      <c r="AA8" s="1738"/>
      <c r="AB8" s="1720" t="s">
        <v>573</v>
      </c>
      <c r="AC8" s="1740"/>
    </row>
    <row r="9" spans="2:29">
      <c r="B9" s="1471"/>
      <c r="C9" s="1468">
        <v>2015</v>
      </c>
      <c r="D9" s="1468"/>
      <c r="E9" s="1469">
        <f>'Annual Production thru 2021'!AQ51/1000000</f>
        <v>36.277112000000002</v>
      </c>
      <c r="F9" s="1469"/>
      <c r="G9" s="1469"/>
      <c r="H9" s="1469">
        <f>(('Annual Production thru 2021'!AQ52))/1000000</f>
        <v>36.066538999999999</v>
      </c>
      <c r="I9" s="1469"/>
      <c r="J9" s="1469"/>
      <c r="K9" s="1795">
        <f t="shared" si="0"/>
        <v>0.99419543099241181</v>
      </c>
      <c r="L9" s="1470"/>
      <c r="N9" s="1719" t="s">
        <v>258</v>
      </c>
      <c r="O9" s="1737">
        <v>17697</v>
      </c>
      <c r="P9" s="1737">
        <v>24387</v>
      </c>
      <c r="Q9" s="1737">
        <v>24157</v>
      </c>
      <c r="R9" s="1737">
        <v>23484</v>
      </c>
      <c r="S9" s="1737">
        <v>20466</v>
      </c>
      <c r="T9" s="1737">
        <v>25820</v>
      </c>
      <c r="U9" s="1737">
        <v>24023</v>
      </c>
      <c r="V9" s="1737">
        <v>24055</v>
      </c>
      <c r="W9" s="1738">
        <v>26069.7</v>
      </c>
      <c r="X9" s="1737">
        <v>28765.3</v>
      </c>
      <c r="Y9" s="1738"/>
      <c r="Z9" s="1739"/>
      <c r="AA9" s="1738"/>
      <c r="AB9" s="1720" t="s">
        <v>141</v>
      </c>
      <c r="AC9" s="1740"/>
    </row>
    <row r="10" spans="2:29">
      <c r="B10" s="1467"/>
      <c r="C10" s="1468">
        <v>2016</v>
      </c>
      <c r="D10" s="1468"/>
      <c r="E10" s="1469">
        <f>'Annual Production thru 2021'!AR51/1000000</f>
        <v>39.139879000000001</v>
      </c>
      <c r="F10" s="1469"/>
      <c r="G10" s="1469"/>
      <c r="H10" s="1469">
        <f>(('Annual Production thru 2021'!AR52))/1000000</f>
        <v>38.926231999999999</v>
      </c>
      <c r="I10" s="1469"/>
      <c r="J10" s="1469"/>
      <c r="K10" s="1795">
        <f t="shared" si="0"/>
        <v>0.99454144965547797</v>
      </c>
      <c r="L10" s="1470"/>
      <c r="N10" s="1719" t="s">
        <v>259</v>
      </c>
      <c r="O10" s="1737">
        <v>25509</v>
      </c>
      <c r="P10" s="1737">
        <v>24224</v>
      </c>
      <c r="Q10" s="1737">
        <v>23871</v>
      </c>
      <c r="R10" s="1737">
        <v>21121</v>
      </c>
      <c r="S10" s="1737">
        <v>20700</v>
      </c>
      <c r="T10" s="1737">
        <v>25458</v>
      </c>
      <c r="U10" s="1737">
        <v>20426</v>
      </c>
      <c r="V10" s="1737">
        <v>19551</v>
      </c>
      <c r="W10" s="1738">
        <v>27730.5</v>
      </c>
      <c r="X10" s="1737">
        <v>26400.1</v>
      </c>
      <c r="Y10" s="1738"/>
      <c r="Z10" s="1739"/>
      <c r="AA10" s="1738"/>
      <c r="AB10" s="1739" t="s">
        <v>574</v>
      </c>
      <c r="AC10" s="1740"/>
    </row>
    <row r="11" spans="2:29">
      <c r="B11" s="1467"/>
      <c r="C11" s="1468">
        <v>2017</v>
      </c>
      <c r="D11" s="1468"/>
      <c r="E11" s="1469">
        <f>'Annual Production thru 2021'!AS51/1000000</f>
        <v>35.415534999999998</v>
      </c>
      <c r="F11" s="1469"/>
      <c r="G11" s="1469"/>
      <c r="H11" s="1469">
        <f>(('Annual Production thru 2021'!AS52))/1000000</f>
        <v>35.175294999999998</v>
      </c>
      <c r="I11" s="1469"/>
      <c r="J11" s="1469"/>
      <c r="K11" s="1795">
        <f t="shared" si="0"/>
        <v>0.99321653618955641</v>
      </c>
      <c r="L11" s="1470"/>
      <c r="N11" s="1719" t="s">
        <v>260</v>
      </c>
      <c r="O11" s="1737">
        <v>23838</v>
      </c>
      <c r="P11" s="1737">
        <v>22485</v>
      </c>
      <c r="Q11" s="1737">
        <v>21576</v>
      </c>
      <c r="R11" s="1737">
        <v>22941</v>
      </c>
      <c r="S11" s="1737">
        <v>21743</v>
      </c>
      <c r="T11" s="1737">
        <v>22231</v>
      </c>
      <c r="U11" s="1737">
        <v>21122</v>
      </c>
      <c r="V11" s="1737">
        <v>26249</v>
      </c>
      <c r="W11" s="1738">
        <v>25911.1</v>
      </c>
      <c r="X11" s="1737">
        <v>27517.9</v>
      </c>
      <c r="Y11" s="1738"/>
      <c r="Z11" s="1739"/>
      <c r="AA11" s="1738"/>
      <c r="AB11" s="1739"/>
      <c r="AC11" s="1740"/>
    </row>
    <row r="12" spans="2:29">
      <c r="B12" s="1467"/>
      <c r="C12" s="1468">
        <v>2018</v>
      </c>
      <c r="D12" s="1468"/>
      <c r="E12" s="1469">
        <f>'Annual Production thru 2021'!AT51/1000000</f>
        <v>24.842955</v>
      </c>
      <c r="F12" s="1469"/>
      <c r="G12" s="1469"/>
      <c r="H12" s="1469">
        <f>(('Annual Production thru 2021'!AT52))/1000000</f>
        <v>24.657858000000001</v>
      </c>
      <c r="I12" s="1469"/>
      <c r="J12" s="1469"/>
      <c r="K12" s="1795">
        <f t="shared" si="0"/>
        <v>0.99254931629510257</v>
      </c>
      <c r="L12" s="1470"/>
      <c r="N12" s="1719" t="s">
        <v>261</v>
      </c>
      <c r="O12" s="1737">
        <v>24035</v>
      </c>
      <c r="P12" s="1737">
        <v>24498</v>
      </c>
      <c r="Q12" s="1737">
        <v>23974</v>
      </c>
      <c r="R12" s="1737">
        <v>19735</v>
      </c>
      <c r="S12" s="1737">
        <v>23947</v>
      </c>
      <c r="T12" s="1737">
        <v>24555</v>
      </c>
      <c r="U12" s="1737">
        <v>22243</v>
      </c>
      <c r="V12" s="1737">
        <v>22375</v>
      </c>
      <c r="W12" s="1738">
        <v>28733.4</v>
      </c>
      <c r="X12" s="1737">
        <v>28973.200000000001</v>
      </c>
      <c r="Y12" s="1738"/>
      <c r="Z12" s="1739"/>
      <c r="AA12" s="1738"/>
      <c r="AB12" s="1739"/>
      <c r="AC12" s="1740"/>
    </row>
    <row r="13" spans="2:29">
      <c r="B13" s="1467"/>
      <c r="C13" s="1468">
        <v>2019</v>
      </c>
      <c r="D13" s="1468"/>
      <c r="E13" s="1469">
        <f>'Annual Production thru 2021'!AU51/1000000</f>
        <v>23.306719999999999</v>
      </c>
      <c r="F13" s="1469"/>
      <c r="G13" s="1469"/>
      <c r="H13" s="1469">
        <f>(('Annual Production thru 2021'!AU52))/1000000</f>
        <v>23.121002000000001</v>
      </c>
      <c r="I13" s="1469"/>
      <c r="J13" s="1469"/>
      <c r="K13" s="1795">
        <f t="shared" si="0"/>
        <v>0.99203156857764641</v>
      </c>
      <c r="L13" s="1470"/>
      <c r="N13" s="1719" t="s">
        <v>262</v>
      </c>
      <c r="O13" s="1737">
        <v>25542</v>
      </c>
      <c r="P13" s="1737">
        <v>22981</v>
      </c>
      <c r="Q13" s="1737">
        <v>22152</v>
      </c>
      <c r="R13" s="1737">
        <v>22289</v>
      </c>
      <c r="S13" s="1737">
        <v>26741</v>
      </c>
      <c r="T13" s="1737">
        <v>25240</v>
      </c>
      <c r="U13" s="1737">
        <v>22881</v>
      </c>
      <c r="V13" s="1737">
        <v>20011</v>
      </c>
      <c r="W13" s="1738">
        <v>27827.8</v>
      </c>
      <c r="X13" s="1737">
        <v>28528.400000000001</v>
      </c>
      <c r="Y13" s="1738"/>
      <c r="Z13" s="1739"/>
      <c r="AA13" s="1738"/>
      <c r="AB13" s="1739"/>
      <c r="AC13" s="1740"/>
    </row>
    <row r="14" spans="2:29">
      <c r="B14" s="1472"/>
      <c r="C14" s="1558">
        <v>2020</v>
      </c>
      <c r="D14" s="1558"/>
      <c r="E14" s="1469">
        <f>'Annual Production thru 2021'!AV51/1000000</f>
        <v>19.639075999999999</v>
      </c>
      <c r="F14" s="1479"/>
      <c r="G14" s="1479"/>
      <c r="H14" s="1469">
        <f>(('Annual Production thru 2021'!AV52))/1000000</f>
        <v>19.555841000000001</v>
      </c>
      <c r="I14" s="1558"/>
      <c r="J14" s="1558"/>
      <c r="K14" s="1795">
        <f t="shared" si="0"/>
        <v>0.99576176598125088</v>
      </c>
      <c r="L14" s="1470"/>
      <c r="N14" s="1719" t="s">
        <v>263</v>
      </c>
      <c r="O14" s="1741">
        <v>21475</v>
      </c>
      <c r="P14" s="1737">
        <v>25002</v>
      </c>
      <c r="Q14" s="1737">
        <v>19372</v>
      </c>
      <c r="R14" s="1737">
        <v>21298</v>
      </c>
      <c r="S14" s="1737">
        <v>23716</v>
      </c>
      <c r="T14" s="1737">
        <v>20129</v>
      </c>
      <c r="U14" s="1737">
        <v>21510</v>
      </c>
      <c r="V14" s="1737">
        <v>25701</v>
      </c>
      <c r="W14" s="1738">
        <v>26225.9</v>
      </c>
      <c r="X14" s="1742">
        <v>25039.1</v>
      </c>
      <c r="Y14" s="1738"/>
      <c r="Z14" s="1739"/>
      <c r="AA14" s="1738"/>
      <c r="AB14" s="1739"/>
      <c r="AC14" s="1740"/>
    </row>
    <row r="15" spans="2:29">
      <c r="B15" s="1461"/>
      <c r="C15" s="1484">
        <v>2021</v>
      </c>
      <c r="D15" s="1484"/>
      <c r="E15" s="1721">
        <f>'Annual Production thru 2021'!AW51/1000000</f>
        <v>17.455627</v>
      </c>
      <c r="F15" s="1486"/>
      <c r="G15" s="1486"/>
      <c r="H15" s="1721">
        <f>(('Annual Production thru 2021'!AW52))/1000000</f>
        <v>17.455627</v>
      </c>
      <c r="I15" s="1484"/>
      <c r="J15" s="1484"/>
      <c r="K15" s="1796">
        <f t="shared" si="0"/>
        <v>1</v>
      </c>
      <c r="L15" s="1473"/>
      <c r="N15" s="1719" t="s">
        <v>264</v>
      </c>
      <c r="O15" s="1737">
        <v>27019</v>
      </c>
      <c r="P15" s="1737">
        <v>24881</v>
      </c>
      <c r="Q15" s="1737">
        <v>19079</v>
      </c>
      <c r="R15" s="1737">
        <v>23215</v>
      </c>
      <c r="S15" s="1737">
        <v>23810</v>
      </c>
      <c r="T15" s="1737">
        <v>22700</v>
      </c>
      <c r="U15" s="1737">
        <v>19041</v>
      </c>
      <c r="V15" s="1737">
        <v>24563</v>
      </c>
      <c r="W15" s="1738">
        <v>75141</v>
      </c>
      <c r="X15" s="1742">
        <v>26181</v>
      </c>
      <c r="Y15" s="1738"/>
      <c r="Z15" s="1739"/>
      <c r="AA15" s="1738"/>
      <c r="AB15" s="1739"/>
      <c r="AC15" s="1740"/>
    </row>
    <row r="16" spans="2:29">
      <c r="B16" s="1464"/>
      <c r="D16" s="989"/>
      <c r="N16" s="1719" t="s">
        <v>265</v>
      </c>
      <c r="O16" s="1737">
        <v>23538</v>
      </c>
      <c r="P16" s="1737">
        <v>21251</v>
      </c>
      <c r="Q16" s="1737">
        <v>20335</v>
      </c>
      <c r="R16" s="1737">
        <v>20012</v>
      </c>
      <c r="S16" s="1737">
        <v>23537</v>
      </c>
      <c r="T16" s="1737">
        <v>21209</v>
      </c>
      <c r="U16" s="1737">
        <v>21390</v>
      </c>
      <c r="V16" s="1737">
        <v>27499</v>
      </c>
      <c r="W16" s="1738">
        <v>29904.2</v>
      </c>
      <c r="X16" s="1742">
        <v>26035</v>
      </c>
      <c r="Y16" s="1738"/>
      <c r="Z16" s="1739"/>
      <c r="AA16" s="1738"/>
      <c r="AB16" s="1739"/>
      <c r="AC16" s="1740"/>
    </row>
    <row r="17" spans="2:29">
      <c r="B17" s="1465"/>
      <c r="C17" s="461"/>
      <c r="D17" s="461"/>
      <c r="E17" s="596"/>
      <c r="F17" s="596"/>
      <c r="G17" s="596"/>
      <c r="N17" s="1719" t="s">
        <v>266</v>
      </c>
      <c r="O17" s="1737">
        <v>21139</v>
      </c>
      <c r="P17" s="1737">
        <v>24077</v>
      </c>
      <c r="Q17" s="1737">
        <v>20939</v>
      </c>
      <c r="R17" s="1737">
        <v>21637</v>
      </c>
      <c r="S17" s="1737">
        <v>23198</v>
      </c>
      <c r="T17" s="1737">
        <v>21822</v>
      </c>
      <c r="U17" s="1737">
        <v>23681</v>
      </c>
      <c r="V17" s="1737">
        <v>28523</v>
      </c>
      <c r="W17" s="1738">
        <v>27564.9</v>
      </c>
      <c r="X17" s="1737">
        <v>29553.1</v>
      </c>
      <c r="Y17" s="1738"/>
      <c r="Z17" s="1739"/>
      <c r="AA17" s="1738"/>
      <c r="AB17" s="1739"/>
      <c r="AC17" s="1740"/>
    </row>
    <row r="18" spans="2:29">
      <c r="B18" s="1905" t="s">
        <v>287</v>
      </c>
      <c r="C18" s="1905"/>
      <c r="D18" s="1905"/>
      <c r="E18" s="1905"/>
      <c r="F18" s="1905"/>
      <c r="G18" s="1905"/>
      <c r="H18" s="1905"/>
      <c r="I18" s="1905"/>
      <c r="J18" s="1905"/>
      <c r="K18" s="1905"/>
      <c r="L18"/>
      <c r="M18"/>
      <c r="N18" s="1743" t="s">
        <v>267</v>
      </c>
      <c r="O18" s="1744">
        <f>SUM(O6:O17)</f>
        <v>264537</v>
      </c>
      <c r="P18" s="1744">
        <f t="shared" ref="P18:X18" si="1">SUM(P6:P17)</f>
        <v>282257</v>
      </c>
      <c r="Q18" s="1744">
        <f t="shared" si="1"/>
        <v>270248</v>
      </c>
      <c r="R18" s="1744">
        <f t="shared" si="1"/>
        <v>262799</v>
      </c>
      <c r="S18" s="1744">
        <f t="shared" si="1"/>
        <v>268213</v>
      </c>
      <c r="T18" s="1744">
        <f t="shared" si="1"/>
        <v>280673</v>
      </c>
      <c r="U18" s="1744">
        <f t="shared" si="1"/>
        <v>256249</v>
      </c>
      <c r="V18" s="1744">
        <f t="shared" si="1"/>
        <v>283065</v>
      </c>
      <c r="W18" s="1744">
        <f t="shared" si="1"/>
        <v>378331.60000000003</v>
      </c>
      <c r="X18" s="1744">
        <f t="shared" si="1"/>
        <v>327938.90000000002</v>
      </c>
      <c r="Y18" s="1745">
        <v>288576</v>
      </c>
      <c r="Z18" s="1745">
        <v>248627</v>
      </c>
      <c r="AA18" s="1745">
        <v>261254</v>
      </c>
      <c r="AB18" s="1746" t="s">
        <v>349</v>
      </c>
      <c r="AC18" s="1747">
        <f>SUM(O18:AA18)</f>
        <v>3672768.5</v>
      </c>
    </row>
    <row r="19" spans="2:29" ht="25.5" customHeight="1">
      <c r="B19" s="1466"/>
      <c r="C19" s="1929" t="s">
        <v>455</v>
      </c>
      <c r="D19" s="1906" t="s">
        <v>464</v>
      </c>
      <c r="E19" s="1906"/>
      <c r="F19" s="1906"/>
      <c r="G19" s="1906" t="s">
        <v>462</v>
      </c>
      <c r="H19" s="1907"/>
      <c r="I19" s="1907"/>
      <c r="J19" s="1908" t="s">
        <v>461</v>
      </c>
      <c r="K19" s="1909"/>
      <c r="L19" s="1489"/>
      <c r="M19" s="458"/>
      <c r="N19" s="1931" t="s">
        <v>596</v>
      </c>
      <c r="O19" s="1932"/>
      <c r="P19" s="1932"/>
      <c r="Q19" s="1932"/>
      <c r="R19" s="1932"/>
      <c r="S19" s="1932"/>
      <c r="T19" s="1932"/>
      <c r="U19" s="1932"/>
      <c r="V19" s="1932"/>
      <c r="W19" s="1932"/>
      <c r="X19" s="1932"/>
      <c r="Y19" s="1932"/>
      <c r="Z19" s="1932"/>
      <c r="AA19" s="1932"/>
      <c r="AB19" s="1932"/>
      <c r="AC19" s="1933"/>
    </row>
    <row r="20" spans="2:29" ht="15" customHeight="1">
      <c r="B20" s="1487"/>
      <c r="C20" s="1930"/>
      <c r="D20" s="1928" t="s">
        <v>465</v>
      </c>
      <c r="E20" s="1928"/>
      <c r="F20" s="1928"/>
      <c r="G20" s="1927" t="s">
        <v>463</v>
      </c>
      <c r="H20" s="1927"/>
      <c r="I20" s="1927"/>
      <c r="J20" s="1925" t="s">
        <v>460</v>
      </c>
      <c r="K20" s="1925"/>
      <c r="L20" s="1926"/>
      <c r="M20" s="458"/>
      <c r="N20" s="1748" t="s">
        <v>301</v>
      </c>
      <c r="O20" s="1722"/>
      <c r="P20" s="1749"/>
      <c r="Q20" s="1749"/>
      <c r="R20" s="1749"/>
      <c r="S20" s="1749"/>
      <c r="T20" s="1749"/>
      <c r="U20" s="1722"/>
      <c r="V20" s="1750"/>
      <c r="W20" s="1750"/>
      <c r="X20" s="1722"/>
      <c r="Y20" s="1722"/>
      <c r="Z20" s="1750"/>
      <c r="AA20" s="1750"/>
      <c r="AB20" s="1750"/>
      <c r="AC20" s="1723"/>
    </row>
    <row r="21" spans="2:29" ht="14.25" customHeight="1" thickBot="1">
      <c r="B21" s="1487"/>
      <c r="C21" s="1930"/>
      <c r="D21" s="1934" t="s">
        <v>459</v>
      </c>
      <c r="E21" s="1934"/>
      <c r="F21" s="1934"/>
      <c r="G21" s="1935" t="s">
        <v>457</v>
      </c>
      <c r="H21" s="1935"/>
      <c r="I21" s="1935"/>
      <c r="J21" s="1474"/>
      <c r="K21" s="1492" t="s">
        <v>458</v>
      </c>
      <c r="L21" s="1491"/>
      <c r="M21" s="458"/>
      <c r="N21" s="988"/>
      <c r="O21" s="988"/>
      <c r="P21" s="991"/>
      <c r="Q21" s="991"/>
      <c r="R21" s="991"/>
      <c r="S21" s="991"/>
      <c r="T21" s="991"/>
      <c r="U21" s="988"/>
      <c r="W21" s="987"/>
    </row>
    <row r="22" spans="2:29" ht="13.5" thickBot="1">
      <c r="B22" s="1467"/>
      <c r="C22" s="1475">
        <v>2010</v>
      </c>
      <c r="D22" s="1475"/>
      <c r="E22" s="1476">
        <v>103.119</v>
      </c>
      <c r="F22" s="1476"/>
      <c r="G22" s="1476"/>
      <c r="H22" s="1476">
        <v>59.3</v>
      </c>
      <c r="I22" s="1476"/>
      <c r="J22" s="1476"/>
      <c r="K22" s="1797">
        <f t="shared" ref="K22:K32" si="2">H22/E22</f>
        <v>0.57506376128550507</v>
      </c>
      <c r="L22" s="1490"/>
      <c r="M22" s="458"/>
      <c r="O22" s="1771" t="s">
        <v>585</v>
      </c>
      <c r="P22" s="1772"/>
      <c r="Q22" s="1773"/>
      <c r="R22" s="1772"/>
      <c r="S22" s="1773"/>
      <c r="T22" s="1774"/>
      <c r="U22" s="1775"/>
    </row>
    <row r="23" spans="2:29" ht="13.5" thickTop="1">
      <c r="B23" s="1467"/>
      <c r="C23" s="1475">
        <v>2011</v>
      </c>
      <c r="D23" s="1475"/>
      <c r="E23" s="1476">
        <v>110.426</v>
      </c>
      <c r="F23" s="1476"/>
      <c r="G23" s="1476"/>
      <c r="H23" s="1476">
        <v>62.262</v>
      </c>
      <c r="I23" s="1476"/>
      <c r="J23" s="1476"/>
      <c r="K23" s="1797">
        <f>H23/E23</f>
        <v>0.56383460416930797</v>
      </c>
      <c r="L23" s="1470"/>
      <c r="M23" s="458"/>
      <c r="O23" s="1776" t="s">
        <v>189</v>
      </c>
      <c r="P23" s="1777" t="s">
        <v>597</v>
      </c>
      <c r="Q23" s="1778" t="s">
        <v>599</v>
      </c>
      <c r="R23" s="1482"/>
      <c r="S23" s="1482"/>
      <c r="T23" s="1779"/>
      <c r="U23" s="1780"/>
      <c r="W23" s="1752"/>
      <c r="X23" s="1753" t="s">
        <v>586</v>
      </c>
      <c r="Y23" s="1754"/>
      <c r="Z23" s="1754"/>
      <c r="AA23" s="1754"/>
      <c r="AB23" s="1754"/>
      <c r="AC23" s="1755"/>
    </row>
    <row r="24" spans="2:29">
      <c r="B24" s="1467"/>
      <c r="C24" s="1477">
        <v>2012</v>
      </c>
      <c r="D24" s="1477"/>
      <c r="E24" s="1476">
        <v>97.305000000000007</v>
      </c>
      <c r="F24" s="1476"/>
      <c r="G24" s="1476"/>
      <c r="H24" s="1476">
        <v>57.203000000000003</v>
      </c>
      <c r="I24" s="1476"/>
      <c r="J24" s="1476"/>
      <c r="K24" s="1797">
        <f t="shared" si="2"/>
        <v>0.58787318226195984</v>
      </c>
      <c r="L24" s="1470"/>
      <c r="M24" s="458"/>
      <c r="O24" s="1781"/>
      <c r="P24" s="1720"/>
      <c r="Q24" s="1778" t="s">
        <v>598</v>
      </c>
      <c r="R24" s="1782"/>
      <c r="S24" s="1782"/>
      <c r="T24" s="1782"/>
      <c r="U24" s="1783"/>
      <c r="W24" s="1763"/>
      <c r="X24" s="1738" t="s">
        <v>395</v>
      </c>
      <c r="Y24" s="1739" t="s">
        <v>396</v>
      </c>
      <c r="Z24" s="1739" t="s">
        <v>397</v>
      </c>
      <c r="AA24" s="1738" t="s">
        <v>398</v>
      </c>
      <c r="AB24" s="1757" t="s">
        <v>392</v>
      </c>
      <c r="AC24" s="1762" t="s">
        <v>582</v>
      </c>
    </row>
    <row r="25" spans="2:29">
      <c r="B25" s="1467"/>
      <c r="C25" s="1477">
        <v>2013</v>
      </c>
      <c r="D25" s="1477"/>
      <c r="E25" s="1476">
        <v>102.48699999999999</v>
      </c>
      <c r="F25" s="1476"/>
      <c r="G25" s="1476"/>
      <c r="H25" s="1476">
        <f t="shared" ref="H25:H33" si="3">E25-P29</f>
        <v>59.635999999999996</v>
      </c>
      <c r="I25" s="1476"/>
      <c r="J25" s="1476"/>
      <c r="K25" s="1797">
        <f t="shared" si="2"/>
        <v>0.58188843463073359</v>
      </c>
      <c r="L25" s="1470"/>
      <c r="M25" s="458"/>
      <c r="O25" s="1781"/>
      <c r="P25" s="1732" t="s">
        <v>580</v>
      </c>
      <c r="Q25" s="1819" t="s">
        <v>575</v>
      </c>
      <c r="R25" s="1758" t="s">
        <v>395</v>
      </c>
      <c r="S25" s="1764" t="s">
        <v>396</v>
      </c>
      <c r="T25" s="1764" t="s">
        <v>397</v>
      </c>
      <c r="U25" s="1784" t="s">
        <v>398</v>
      </c>
      <c r="W25" s="1761">
        <v>2010</v>
      </c>
      <c r="X25" s="1760">
        <v>59.838000000000001</v>
      </c>
      <c r="Y25" s="1760">
        <v>40.442999999999998</v>
      </c>
      <c r="Z25" s="1739" t="s">
        <v>581</v>
      </c>
      <c r="AA25" s="1739"/>
      <c r="AB25" s="1482">
        <f>SUM(X25:AA25)</f>
        <v>100.28100000000001</v>
      </c>
      <c r="AC25" s="1759">
        <f>AB25-P26</f>
        <v>59.299000000000007</v>
      </c>
    </row>
    <row r="26" spans="2:29">
      <c r="B26" s="1471"/>
      <c r="C26" s="1475">
        <v>2014</v>
      </c>
      <c r="D26" s="1475"/>
      <c r="E26" s="1476">
        <v>101.658</v>
      </c>
      <c r="F26" s="1476"/>
      <c r="G26" s="1476"/>
      <c r="H26" s="1476">
        <f t="shared" si="3"/>
        <v>58.003999999999998</v>
      </c>
      <c r="I26" s="1476"/>
      <c r="J26" s="1476"/>
      <c r="K26" s="1797">
        <f t="shared" si="2"/>
        <v>0.57057978712939461</v>
      </c>
      <c r="L26" s="1470"/>
      <c r="M26" s="458"/>
      <c r="O26" s="1785">
        <v>2010</v>
      </c>
      <c r="P26" s="1786">
        <v>40.981999999999999</v>
      </c>
      <c r="Q26" s="1786">
        <v>40.981999999999999</v>
      </c>
      <c r="R26" s="1791"/>
      <c r="S26" s="1482"/>
      <c r="T26" s="1720"/>
      <c r="U26" s="1787"/>
      <c r="V26" s="989"/>
      <c r="W26" s="1761">
        <v>2011</v>
      </c>
      <c r="X26" s="1482">
        <v>65.228999999999999</v>
      </c>
      <c r="Y26" s="1482">
        <v>41.405999999999999</v>
      </c>
      <c r="Z26" s="1739" t="s">
        <v>581</v>
      </c>
      <c r="AA26" s="1739"/>
      <c r="AB26" s="1482">
        <f>SUM(X26:AA26)</f>
        <v>106.63499999999999</v>
      </c>
      <c r="AC26" s="1759">
        <f>AB26-P27</f>
        <v>60.730999999999987</v>
      </c>
    </row>
    <row r="27" spans="2:29">
      <c r="B27" s="1471"/>
      <c r="C27" s="1475">
        <v>2015</v>
      </c>
      <c r="D27" s="1475"/>
      <c r="E27" s="1476">
        <v>86.778999999999996</v>
      </c>
      <c r="F27" s="1476"/>
      <c r="G27" s="1476"/>
      <c r="H27" s="1476">
        <f t="shared" si="3"/>
        <v>50.861033999999997</v>
      </c>
      <c r="I27" s="1476"/>
      <c r="J27" s="1476"/>
      <c r="K27" s="1797">
        <f t="shared" si="2"/>
        <v>0.58609841090586434</v>
      </c>
      <c r="L27" s="1470"/>
      <c r="M27" s="458"/>
      <c r="O27" s="1785">
        <v>2011</v>
      </c>
      <c r="P27" s="1786">
        <v>45.904000000000003</v>
      </c>
      <c r="Q27" s="1720">
        <v>45.904000000000003</v>
      </c>
      <c r="R27" s="1792"/>
      <c r="S27" s="1739"/>
      <c r="T27" s="1720"/>
      <c r="U27" s="1787"/>
      <c r="V27" s="989"/>
      <c r="W27" s="1761">
        <v>2012</v>
      </c>
      <c r="X27" s="1738"/>
      <c r="Y27" s="1739"/>
      <c r="Z27" s="1739"/>
      <c r="AA27" s="1739"/>
      <c r="AB27" s="1739"/>
      <c r="AC27" s="1762"/>
    </row>
    <row r="28" spans="2:29">
      <c r="B28" s="1467"/>
      <c r="C28" s="1475">
        <v>2016</v>
      </c>
      <c r="D28" s="1475"/>
      <c r="E28" s="1476">
        <v>86.13</v>
      </c>
      <c r="F28" s="1476"/>
      <c r="G28" s="1476"/>
      <c r="H28" s="1476">
        <f t="shared" si="3"/>
        <v>47.128999999999998</v>
      </c>
      <c r="I28" s="1476"/>
      <c r="J28" s="1476"/>
      <c r="K28" s="1797">
        <f t="shared" si="2"/>
        <v>0.54718448856379887</v>
      </c>
      <c r="L28" s="1470"/>
      <c r="M28" s="458"/>
      <c r="O28" s="1785">
        <v>2012</v>
      </c>
      <c r="P28" s="1786">
        <v>44.177999999999997</v>
      </c>
      <c r="Q28" s="1720">
        <v>44.177999999999997</v>
      </c>
      <c r="R28" s="1792"/>
      <c r="S28" s="1739"/>
      <c r="T28" s="1720"/>
      <c r="U28" s="1787"/>
      <c r="V28" s="989"/>
      <c r="W28" s="1761">
        <v>2013</v>
      </c>
      <c r="X28" s="1738"/>
      <c r="Y28" s="1739"/>
      <c r="Z28" s="1739"/>
      <c r="AA28" s="1739"/>
      <c r="AB28" s="1739"/>
      <c r="AC28" s="1762"/>
    </row>
    <row r="29" spans="2:29">
      <c r="B29" s="1467"/>
      <c r="C29" s="1475">
        <v>2017</v>
      </c>
      <c r="D29" s="1475"/>
      <c r="E29" s="1476">
        <v>93.488</v>
      </c>
      <c r="F29" s="1476"/>
      <c r="G29" s="1476"/>
      <c r="H29" s="1476">
        <f t="shared" si="3"/>
        <v>57.106000000000002</v>
      </c>
      <c r="I29" s="1476"/>
      <c r="J29" s="1476"/>
      <c r="K29" s="1797">
        <f t="shared" si="2"/>
        <v>0.61083775457812772</v>
      </c>
      <c r="L29" s="1470"/>
      <c r="M29" s="458"/>
      <c r="O29" s="1785">
        <v>2013</v>
      </c>
      <c r="P29" s="1786">
        <v>42.850999999999999</v>
      </c>
      <c r="Q29" s="1786">
        <v>42.850999999999999</v>
      </c>
      <c r="R29" s="1792"/>
      <c r="S29" s="1739"/>
      <c r="T29" s="1720"/>
      <c r="U29" s="1787"/>
      <c r="V29" s="989"/>
      <c r="W29" s="1761">
        <v>2014</v>
      </c>
      <c r="X29" s="1738"/>
      <c r="Y29" s="1739"/>
      <c r="Z29" s="1739"/>
      <c r="AA29" s="1739"/>
      <c r="AB29" s="1739"/>
      <c r="AC29" s="1762"/>
    </row>
    <row r="30" spans="2:29">
      <c r="B30" s="1467"/>
      <c r="C30" s="1478">
        <v>2018</v>
      </c>
      <c r="D30" s="1478"/>
      <c r="E30" s="1476">
        <v>75.900000000000006</v>
      </c>
      <c r="F30" s="1476"/>
      <c r="G30" s="1476"/>
      <c r="H30" s="1476">
        <f t="shared" si="3"/>
        <v>51.077000000000005</v>
      </c>
      <c r="I30" s="1476"/>
      <c r="J30" s="1476"/>
      <c r="K30" s="1797">
        <f t="shared" si="2"/>
        <v>0.67295125164690384</v>
      </c>
      <c r="L30" s="1470"/>
      <c r="O30" s="1785">
        <v>2014</v>
      </c>
      <c r="P30" s="1786">
        <f>43654000/1000000</f>
        <v>43.654000000000003</v>
      </c>
      <c r="Q30" s="1786">
        <v>43.654000000000003</v>
      </c>
      <c r="R30" s="1793"/>
      <c r="S30" s="1482"/>
      <c r="T30" s="1720"/>
      <c r="U30" s="1787"/>
      <c r="V30" s="989"/>
      <c r="W30" s="1761">
        <v>2015</v>
      </c>
      <c r="X30" s="1720">
        <v>19639959</v>
      </c>
      <c r="Y30" s="1720">
        <v>20880065</v>
      </c>
      <c r="Z30" s="1720">
        <v>27792799</v>
      </c>
      <c r="AA30" s="1720">
        <v>18466374</v>
      </c>
      <c r="AB30" s="1735">
        <f>SUM(X30:AA30)</f>
        <v>86779197</v>
      </c>
      <c r="AC30" s="1762"/>
    </row>
    <row r="31" spans="2:29" ht="15">
      <c r="B31" s="1467"/>
      <c r="C31" s="1478">
        <v>2019</v>
      </c>
      <c r="D31" s="1478"/>
      <c r="E31" s="1476">
        <v>63.31</v>
      </c>
      <c r="F31" s="1476"/>
      <c r="G31" s="1476"/>
      <c r="H31" s="1476">
        <f t="shared" si="3"/>
        <v>40.003</v>
      </c>
      <c r="I31" s="1476"/>
      <c r="J31" s="1476"/>
      <c r="K31" s="1797">
        <f t="shared" si="2"/>
        <v>0.63185910598641604</v>
      </c>
      <c r="L31" s="1470"/>
      <c r="O31" s="1785">
        <v>2015</v>
      </c>
      <c r="P31" s="1788">
        <f>35917966/1000000</f>
        <v>35.917966</v>
      </c>
      <c r="Q31" s="1786">
        <v>35.917999999999999</v>
      </c>
      <c r="R31" s="1794"/>
      <c r="S31" s="1482"/>
      <c r="T31" s="1789"/>
      <c r="U31" s="1787"/>
      <c r="V31" s="989"/>
      <c r="W31" s="1761">
        <v>2016</v>
      </c>
      <c r="X31" s="1738"/>
      <c r="Y31" s="1739"/>
      <c r="Z31" s="1739"/>
      <c r="AA31" s="1739"/>
      <c r="AB31" s="1739"/>
      <c r="AC31" s="1762"/>
    </row>
    <row r="32" spans="2:29">
      <c r="B32" s="1472"/>
      <c r="C32" s="1558">
        <v>2020</v>
      </c>
      <c r="D32" s="1558"/>
      <c r="E32" s="1479">
        <v>56.068973999999997</v>
      </c>
      <c r="F32" s="1479"/>
      <c r="G32" s="1479"/>
      <c r="H32" s="1476">
        <f t="shared" si="3"/>
        <v>36.386973999999995</v>
      </c>
      <c r="I32" s="1558"/>
      <c r="J32" s="1558"/>
      <c r="K32" s="1798">
        <f t="shared" si="2"/>
        <v>0.64896807278834812</v>
      </c>
      <c r="L32" s="1470"/>
      <c r="O32" s="1785">
        <v>2016</v>
      </c>
      <c r="P32" s="1786">
        <v>39.000999999999998</v>
      </c>
      <c r="Q32" s="1786">
        <v>39.000999999999998</v>
      </c>
      <c r="R32" s="1719"/>
      <c r="S32" s="1720"/>
      <c r="T32" s="1720"/>
      <c r="U32" s="1787"/>
      <c r="V32" s="989"/>
      <c r="W32" s="1761">
        <v>2017</v>
      </c>
      <c r="X32" s="1738"/>
      <c r="Y32" s="1739"/>
      <c r="Z32" s="1739"/>
      <c r="AA32" s="1739"/>
      <c r="AB32" s="1739"/>
      <c r="AC32" s="1762"/>
    </row>
    <row r="33" spans="2:29">
      <c r="B33" s="1461"/>
      <c r="C33" s="1484">
        <v>2021</v>
      </c>
      <c r="D33" s="1484"/>
      <c r="E33" s="1486">
        <v>61.74</v>
      </c>
      <c r="F33" s="1486"/>
      <c r="G33" s="1486"/>
      <c r="H33" s="1812">
        <f t="shared" si="3"/>
        <v>44.49</v>
      </c>
      <c r="I33" s="1484"/>
      <c r="J33" s="1484"/>
      <c r="K33" s="1813">
        <f t="shared" ref="K33" si="4">H33/E33</f>
        <v>0.72060252672497571</v>
      </c>
      <c r="L33" s="1473"/>
      <c r="M33" s="1436"/>
      <c r="O33" s="1785">
        <v>2017</v>
      </c>
      <c r="P33" s="1731">
        <v>36.381999999999998</v>
      </c>
      <c r="Q33" s="1731">
        <v>36.381999999999998</v>
      </c>
      <c r="R33" s="1719"/>
      <c r="S33" s="1720"/>
      <c r="T33" s="1720"/>
      <c r="U33" s="1787"/>
      <c r="V33" s="989"/>
      <c r="W33" s="1761">
        <v>2018</v>
      </c>
      <c r="X33" s="1738"/>
      <c r="Y33" s="1739"/>
      <c r="Z33" s="1739"/>
      <c r="AA33" s="1739"/>
      <c r="AB33" s="1739"/>
      <c r="AC33" s="1762"/>
    </row>
    <row r="34" spans="2:29" ht="14.25" customHeight="1">
      <c r="C34" s="1433" t="s">
        <v>446</v>
      </c>
      <c r="D34" s="1433"/>
      <c r="E34" s="1434"/>
      <c r="F34" s="1434"/>
      <c r="G34" s="1434"/>
      <c r="H34" s="1435"/>
      <c r="I34" s="1435"/>
      <c r="J34" s="1435"/>
      <c r="K34" s="1435"/>
      <c r="L34"/>
      <c r="M34"/>
      <c r="O34" s="1785">
        <v>2018</v>
      </c>
      <c r="P34" s="1731">
        <v>24.823</v>
      </c>
      <c r="Q34" s="1731">
        <v>24.823</v>
      </c>
      <c r="R34" s="1719"/>
      <c r="S34" s="1720"/>
      <c r="T34" s="1720"/>
      <c r="U34" s="1787"/>
      <c r="V34" s="989"/>
      <c r="W34" s="1761">
        <v>2019</v>
      </c>
      <c r="X34" s="1738"/>
      <c r="Y34" s="1739"/>
      <c r="Z34" s="1739"/>
      <c r="AA34" s="1739"/>
      <c r="AB34" s="1739"/>
      <c r="AC34" s="1762"/>
    </row>
    <row r="35" spans="2:29">
      <c r="C35" s="1920"/>
      <c r="D35" s="1920"/>
      <c r="E35" s="1920"/>
      <c r="F35" s="1920"/>
      <c r="G35" s="1920"/>
      <c r="H35" s="1920"/>
      <c r="I35" s="1920"/>
      <c r="J35" s="1920"/>
      <c r="K35" s="1920"/>
      <c r="L35"/>
      <c r="M35"/>
      <c r="O35" s="1785">
        <v>2019</v>
      </c>
      <c r="P35" s="1790">
        <f>23307000/1000000</f>
        <v>23.306999999999999</v>
      </c>
      <c r="Q35" s="1731">
        <v>23.306999999999999</v>
      </c>
      <c r="R35" s="1792"/>
      <c r="S35" s="1739"/>
      <c r="T35" s="1739"/>
      <c r="U35" s="1780"/>
      <c r="V35" s="989"/>
      <c r="W35" s="1761">
        <v>2020</v>
      </c>
      <c r="X35" s="1738">
        <v>11029285</v>
      </c>
      <c r="Y35" s="1756">
        <v>12950538</v>
      </c>
      <c r="Z35" s="1756">
        <v>17219614</v>
      </c>
      <c r="AA35" s="1738">
        <v>14869537</v>
      </c>
      <c r="AB35" s="1738">
        <f>SUM(X35:AA35)</f>
        <v>56068974</v>
      </c>
      <c r="AC35" s="1762"/>
    </row>
    <row r="36" spans="2:29">
      <c r="C36" s="1921" t="s">
        <v>414</v>
      </c>
      <c r="D36" s="1921"/>
      <c r="E36" s="1921"/>
      <c r="F36" s="1921"/>
      <c r="G36" s="1921"/>
      <c r="H36" s="1921"/>
      <c r="I36" s="1921"/>
      <c r="J36" s="1921"/>
      <c r="K36" s="1921"/>
      <c r="L36"/>
      <c r="M36"/>
      <c r="N36" s="990"/>
      <c r="O36" s="1785">
        <v>2020</v>
      </c>
      <c r="P36" s="1731">
        <v>19.681999999999999</v>
      </c>
      <c r="Q36" s="1731">
        <v>19.681999999999999</v>
      </c>
      <c r="R36" s="1792"/>
      <c r="S36" s="1739"/>
      <c r="T36" s="1739"/>
      <c r="U36" s="1780"/>
      <c r="V36" s="989"/>
      <c r="W36" s="1761">
        <v>2021</v>
      </c>
      <c r="X36" s="1738" t="s">
        <v>579</v>
      </c>
      <c r="Y36" s="1739"/>
      <c r="Z36" s="1739"/>
      <c r="AA36" s="1739"/>
      <c r="AB36" s="1818">
        <v>61742</v>
      </c>
      <c r="AC36" s="1762"/>
    </row>
    <row r="37" spans="2:29" ht="16.5" customHeight="1">
      <c r="C37" s="1799"/>
      <c r="D37" s="1918" t="s">
        <v>189</v>
      </c>
      <c r="E37" s="1820"/>
      <c r="F37" s="1821" t="s">
        <v>456</v>
      </c>
      <c r="G37" s="1822"/>
      <c r="H37" s="1914" t="s">
        <v>588</v>
      </c>
      <c r="I37" s="1914"/>
      <c r="J37" s="1915"/>
      <c r="K37"/>
      <c r="L37"/>
      <c r="M37"/>
      <c r="O37" s="1785">
        <v>2021</v>
      </c>
      <c r="P37" s="1817">
        <v>17.25</v>
      </c>
      <c r="Q37" s="1731"/>
      <c r="R37" s="1814"/>
      <c r="S37" s="1815"/>
      <c r="T37" s="1815"/>
      <c r="U37" s="1816"/>
      <c r="W37" s="1299"/>
    </row>
    <row r="38" spans="2:29">
      <c r="C38" s="1799"/>
      <c r="D38" s="1919"/>
      <c r="E38" s="1805"/>
      <c r="F38" s="1827" t="s">
        <v>457</v>
      </c>
      <c r="G38" s="1805"/>
      <c r="H38" s="1916" t="s">
        <v>589</v>
      </c>
      <c r="I38" s="1916"/>
      <c r="J38" s="1917"/>
      <c r="K38"/>
      <c r="L38"/>
      <c r="M38"/>
      <c r="V38" s="1765"/>
      <c r="W38" s="1765"/>
      <c r="X38" s="1766"/>
      <c r="Y38" s="1766"/>
      <c r="Z38" s="1767"/>
    </row>
    <row r="39" spans="2:29" ht="13.15" customHeight="1">
      <c r="C39" s="1800"/>
      <c r="D39" s="1802">
        <v>2010</v>
      </c>
      <c r="E39" s="1479"/>
      <c r="F39" s="1479">
        <v>41.68</v>
      </c>
      <c r="G39" s="1479"/>
      <c r="H39" s="1558"/>
      <c r="I39" s="1462">
        <v>5</v>
      </c>
      <c r="J39" s="1480"/>
      <c r="K39"/>
      <c r="L39"/>
      <c r="M39"/>
      <c r="N39" s="1770" t="s">
        <v>584</v>
      </c>
      <c r="O39" s="1770"/>
      <c r="P39" s="1770"/>
      <c r="Q39" s="1770"/>
      <c r="R39" s="1770"/>
      <c r="S39" s="1770"/>
      <c r="T39" s="1770"/>
      <c r="U39" s="1770"/>
      <c r="V39" s="1770"/>
      <c r="W39" s="1770"/>
      <c r="X39" s="1770"/>
      <c r="Y39" s="1770"/>
      <c r="Z39" s="1770"/>
      <c r="AA39" s="1770"/>
      <c r="AB39" s="1770"/>
    </row>
    <row r="40" spans="2:29">
      <c r="C40" s="1800"/>
      <c r="D40" s="1802">
        <v>2011</v>
      </c>
      <c r="E40" s="1479"/>
      <c r="F40" s="1479">
        <v>46.41</v>
      </c>
      <c r="G40" s="1479"/>
      <c r="H40" s="1558"/>
      <c r="I40" s="1462">
        <v>5</v>
      </c>
      <c r="J40" s="1480"/>
      <c r="K40"/>
      <c r="L40"/>
      <c r="M40"/>
      <c r="O40" s="989"/>
      <c r="P40" s="989"/>
      <c r="Q40" s="1681"/>
      <c r="R40" s="943"/>
      <c r="S40" s="943"/>
      <c r="T40" s="943"/>
      <c r="U40" s="988"/>
      <c r="V40" s="1769"/>
      <c r="W40" s="1766"/>
      <c r="X40" s="1768"/>
      <c r="Y40" s="1768"/>
      <c r="Z40" s="1768"/>
    </row>
    <row r="41" spans="2:29">
      <c r="C41" s="1800"/>
      <c r="D41" s="1802">
        <v>2012</v>
      </c>
      <c r="E41" s="1479"/>
      <c r="F41" s="1481">
        <v>43.6</v>
      </c>
      <c r="G41" s="1479"/>
      <c r="H41" s="1558"/>
      <c r="I41" s="1462">
        <v>6</v>
      </c>
      <c r="J41" s="1480"/>
      <c r="K41"/>
      <c r="L41"/>
      <c r="M41"/>
      <c r="O41" s="989"/>
      <c r="P41" s="989"/>
      <c r="Q41" s="1681"/>
      <c r="R41" s="989"/>
      <c r="S41" s="943"/>
      <c r="T41" s="943"/>
      <c r="U41" s="943"/>
      <c r="V41" s="1767"/>
      <c r="W41" s="1765"/>
      <c r="X41" s="1768"/>
      <c r="Y41" s="1768"/>
      <c r="Z41" s="1768"/>
    </row>
    <row r="42" spans="2:29" ht="13.15" customHeight="1">
      <c r="C42" s="1800"/>
      <c r="D42" s="1802">
        <v>2013</v>
      </c>
      <c r="E42" s="1479"/>
      <c r="F42" s="1481">
        <v>43.2</v>
      </c>
      <c r="G42" s="1481"/>
      <c r="H42" s="1558"/>
      <c r="I42" s="1462">
        <v>6</v>
      </c>
      <c r="J42" s="1480"/>
      <c r="K42"/>
      <c r="L42"/>
      <c r="M42"/>
      <c r="N42" s="993"/>
      <c r="O42" s="989"/>
      <c r="S42" s="988"/>
      <c r="T42" s="988"/>
      <c r="U42" s="988"/>
      <c r="V42" s="1769"/>
      <c r="W42" s="1765"/>
      <c r="X42" s="1768"/>
      <c r="Y42" s="1768"/>
      <c r="Z42" s="1768"/>
    </row>
    <row r="43" spans="2:29" ht="13.15" customHeight="1">
      <c r="C43" s="1800"/>
      <c r="D43" s="1802">
        <v>2014</v>
      </c>
      <c r="E43" s="1479"/>
      <c r="F43" s="1481">
        <v>43.82</v>
      </c>
      <c r="G43" s="1481"/>
      <c r="H43" s="1558"/>
      <c r="I43" s="1462">
        <v>6</v>
      </c>
      <c r="J43" s="1480"/>
      <c r="K43"/>
      <c r="L43"/>
      <c r="M43"/>
      <c r="O43" s="989"/>
      <c r="S43" s="988"/>
      <c r="T43" s="988"/>
      <c r="U43" s="988"/>
      <c r="V43" s="943"/>
    </row>
    <row r="44" spans="2:29" ht="15" customHeight="1">
      <c r="C44" s="1800"/>
      <c r="D44" s="1802">
        <v>2015</v>
      </c>
      <c r="E44" s="1479"/>
      <c r="F44" s="1482">
        <v>37.299999999999997</v>
      </c>
      <c r="G44" s="1481"/>
      <c r="H44" s="1558"/>
      <c r="I44" s="1462">
        <v>6</v>
      </c>
      <c r="J44" s="1480"/>
      <c r="K44"/>
      <c r="L44"/>
      <c r="M44"/>
      <c r="N44" s="993"/>
      <c r="O44" s="989"/>
      <c r="Q44" s="1401" t="s">
        <v>442</v>
      </c>
      <c r="R44" s="989"/>
      <c r="S44" s="988"/>
      <c r="T44" s="988"/>
      <c r="U44" s="988"/>
      <c r="V44" s="943"/>
    </row>
    <row r="45" spans="2:29">
      <c r="C45" s="1800"/>
      <c r="D45" s="1802">
        <v>2016</v>
      </c>
      <c r="E45" s="1479"/>
      <c r="F45" s="1482">
        <v>39.31</v>
      </c>
      <c r="G45" s="1482"/>
      <c r="H45" s="1558"/>
      <c r="I45" s="1462">
        <v>6</v>
      </c>
      <c r="J45" s="1480"/>
      <c r="K45"/>
      <c r="L45"/>
      <c r="M45"/>
      <c r="O45" s="1823"/>
      <c r="P45" s="1824"/>
      <c r="R45" s="989"/>
      <c r="S45" s="988"/>
      <c r="T45" s="988"/>
      <c r="U45" s="988"/>
      <c r="V45" s="943"/>
    </row>
    <row r="46" spans="2:29">
      <c r="C46" s="1800"/>
      <c r="D46" s="1802">
        <v>2017</v>
      </c>
      <c r="E46" s="1479"/>
      <c r="F46" s="1482">
        <v>35.630000000000003</v>
      </c>
      <c r="G46" s="1482"/>
      <c r="H46" s="1558"/>
      <c r="I46" s="1462">
        <v>6</v>
      </c>
      <c r="J46" s="1480"/>
      <c r="K46"/>
      <c r="L46"/>
      <c r="M46"/>
      <c r="O46" s="1825"/>
      <c r="P46" s="1825"/>
      <c r="Q46" s="1808">
        <v>18556877.48</v>
      </c>
      <c r="R46" s="1524" t="s">
        <v>468</v>
      </c>
      <c r="T46" s="988"/>
      <c r="U46" s="988"/>
      <c r="V46" s="943"/>
    </row>
    <row r="47" spans="2:29">
      <c r="C47" s="1800"/>
      <c r="D47" s="1802">
        <v>2018</v>
      </c>
      <c r="E47" s="1479"/>
      <c r="F47" s="1482">
        <v>26.16</v>
      </c>
      <c r="G47" s="1482"/>
      <c r="H47" s="1558"/>
      <c r="I47" s="1463">
        <v>9</v>
      </c>
      <c r="J47" s="1480"/>
      <c r="K47"/>
      <c r="L47"/>
      <c r="M47"/>
      <c r="O47" s="1825"/>
      <c r="P47" s="1825"/>
      <c r="Q47" s="1542">
        <f>R55/F49</f>
        <v>5.5951169888097729E-2</v>
      </c>
      <c r="R47" s="987" t="s">
        <v>440</v>
      </c>
      <c r="T47" s="988"/>
      <c r="X47" s="1401" t="s">
        <v>466</v>
      </c>
      <c r="AC47"/>
    </row>
    <row r="48" spans="2:29">
      <c r="C48" s="1801"/>
      <c r="D48" s="1803">
        <v>2019</v>
      </c>
      <c r="E48" s="1479"/>
      <c r="F48" s="1482">
        <v>21.78</v>
      </c>
      <c r="G48" s="1482"/>
      <c r="H48" s="1558"/>
      <c r="I48" s="1463">
        <v>9</v>
      </c>
      <c r="J48" s="1480"/>
      <c r="K48"/>
      <c r="O48" s="1825"/>
      <c r="P48" s="1825"/>
      <c r="Q48" s="1542">
        <f>R56/684392657.6</f>
        <v>6.5455723571164179E-2</v>
      </c>
      <c r="R48" s="987" t="s">
        <v>590</v>
      </c>
      <c r="X48" s="1460" t="s">
        <v>467</v>
      </c>
      <c r="AC48"/>
    </row>
    <row r="49" spans="3:26">
      <c r="C49" s="1801"/>
      <c r="D49" s="1803">
        <v>2020</v>
      </c>
      <c r="E49" s="1479"/>
      <c r="F49" s="1482">
        <v>19.66</v>
      </c>
      <c r="G49" s="1482"/>
      <c r="H49" s="1558"/>
      <c r="I49" s="1463">
        <v>8</v>
      </c>
      <c r="J49" s="1483"/>
      <c r="K49"/>
      <c r="O49" s="1826"/>
      <c r="P49" s="1825"/>
      <c r="R49" s="1317" t="s">
        <v>408</v>
      </c>
    </row>
    <row r="50" spans="3:26">
      <c r="C50" s="1801"/>
      <c r="D50" s="1804">
        <v>2021</v>
      </c>
      <c r="E50" s="1486"/>
      <c r="F50" s="1806">
        <v>18.559999999999999</v>
      </c>
      <c r="G50" s="1806"/>
      <c r="H50" s="1807"/>
      <c r="I50" s="1809">
        <v>8</v>
      </c>
      <c r="J50" s="1485"/>
      <c r="O50" s="1825"/>
      <c r="P50" s="1823"/>
      <c r="Q50" s="1823"/>
    </row>
    <row r="51" spans="3:26">
      <c r="K51" s="597"/>
      <c r="R51" s="1400" t="s">
        <v>441</v>
      </c>
    </row>
    <row r="52" spans="3:26">
      <c r="E52" s="992" t="s">
        <v>394</v>
      </c>
      <c r="F52" s="992"/>
      <c r="G52" s="992"/>
      <c r="R52" s="988" t="s">
        <v>454</v>
      </c>
    </row>
    <row r="53" spans="3:26">
      <c r="C53" s="994"/>
      <c r="D53" s="994"/>
    </row>
    <row r="54" spans="3:26">
      <c r="C54" s="994"/>
      <c r="D54" s="994"/>
    </row>
    <row r="55" spans="3:26">
      <c r="R55" s="1810">
        <f>F49-F50</f>
        <v>1.1000000000000014</v>
      </c>
      <c r="S55" s="1401" t="s">
        <v>576</v>
      </c>
      <c r="Z55" s="987" t="s">
        <v>591</v>
      </c>
    </row>
    <row r="56" spans="3:26">
      <c r="R56" s="1767">
        <f>SUM(-531841181.63,576638598.24 )</f>
        <v>44797416.610000014</v>
      </c>
      <c r="S56" s="1401" t="s">
        <v>577</v>
      </c>
      <c r="Z56" s="987" t="s">
        <v>592</v>
      </c>
    </row>
  </sheetData>
  <mergeCells count="22">
    <mergeCell ref="P2:V2"/>
    <mergeCell ref="C2:C3"/>
    <mergeCell ref="J20:L20"/>
    <mergeCell ref="G20:I20"/>
    <mergeCell ref="D20:F20"/>
    <mergeCell ref="C19:C21"/>
    <mergeCell ref="N19:AC19"/>
    <mergeCell ref="D21:F21"/>
    <mergeCell ref="G21:I21"/>
    <mergeCell ref="H37:J37"/>
    <mergeCell ref="H38:J38"/>
    <mergeCell ref="D37:D38"/>
    <mergeCell ref="C35:K35"/>
    <mergeCell ref="C36:K36"/>
    <mergeCell ref="B1:L1"/>
    <mergeCell ref="B18:K18"/>
    <mergeCell ref="D19:F19"/>
    <mergeCell ref="G19:I19"/>
    <mergeCell ref="J19:K19"/>
    <mergeCell ref="D2:F3"/>
    <mergeCell ref="J2:K3"/>
    <mergeCell ref="G2:I3"/>
  </mergeCells>
  <phoneticPr fontId="0" type="noConversion"/>
  <printOptions horizontalCentered="1" verticalCentered="1"/>
  <pageMargins left="1.4" right="1" top="0.75" bottom="0.5" header="0.5" footer="0.5"/>
  <pageSetup fitToWidth="0" orientation="portrait" r:id="rId1"/>
  <headerFooter alignWithMargins="0">
    <oddHeader>&amp;C&amp;"Arial,Bold"&amp;12 12-Year Texas Production / Consumption Summary (2010-2021)</oddHeader>
    <oddFooter>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E4D81-68B8-4E27-83F1-D15433FB579E}">
  <dimension ref="A8:B25"/>
  <sheetViews>
    <sheetView workbookViewId="0">
      <selection sqref="A1:B2"/>
    </sheetView>
  </sheetViews>
  <sheetFormatPr defaultRowHeight="12.75"/>
  <cols>
    <col min="1" max="1" width="11.140625" customWidth="1"/>
    <col min="2" max="2" width="13" customWidth="1"/>
  </cols>
  <sheetData>
    <row r="8" spans="1:2">
      <c r="A8" t="s">
        <v>529</v>
      </c>
      <c r="B8" t="s">
        <v>207</v>
      </c>
    </row>
    <row r="9" spans="1:2">
      <c r="A9" t="s">
        <v>527</v>
      </c>
      <c r="B9" t="s">
        <v>528</v>
      </c>
    </row>
    <row r="10" spans="1:2">
      <c r="A10" s="1602">
        <v>2006</v>
      </c>
      <c r="B10" s="1626">
        <f>'SUM2006'!$D$38</f>
        <v>178257.90000000002</v>
      </c>
    </row>
    <row r="11" spans="1:2">
      <c r="A11" s="1602">
        <v>2007</v>
      </c>
      <c r="B11" s="1626">
        <f>'SUM2007'!$E$39</f>
        <v>180655.5</v>
      </c>
    </row>
    <row r="12" spans="1:2">
      <c r="A12" s="1602">
        <v>2008</v>
      </c>
      <c r="B12" s="1626">
        <f>'SUM2008'!$E$42</f>
        <v>179634.2</v>
      </c>
    </row>
    <row r="13" spans="1:2">
      <c r="A13" s="1602">
        <v>2009</v>
      </c>
      <c r="B13" s="1626">
        <f>'SUM2009'!$E$43</f>
        <v>175741.7</v>
      </c>
    </row>
    <row r="14" spans="1:2">
      <c r="A14" s="1602">
        <v>2010</v>
      </c>
      <c r="B14" s="1626">
        <f>'SUM2010'!$E$43</f>
        <v>181335.1</v>
      </c>
    </row>
    <row r="15" spans="1:2">
      <c r="A15" s="1602">
        <v>2011</v>
      </c>
      <c r="B15" s="1626">
        <f>'SUM2011'!$E$45</f>
        <v>184624.90000000002</v>
      </c>
    </row>
    <row r="16" spans="1:2">
      <c r="A16" s="1602">
        <v>2012</v>
      </c>
      <c r="B16" s="1626">
        <f>'SUM2012'!$E$49</f>
        <v>192875.8</v>
      </c>
    </row>
    <row r="17" spans="1:2">
      <c r="A17" s="1602">
        <v>2013</v>
      </c>
      <c r="B17" s="1626">
        <f>'SUM2013'!$E$51</f>
        <v>190495</v>
      </c>
    </row>
    <row r="18" spans="1:2">
      <c r="A18" s="1602">
        <v>2014</v>
      </c>
      <c r="B18" s="1626">
        <f>'SUM2014'!$E$49</f>
        <v>196733.89999999997</v>
      </c>
    </row>
    <row r="19" spans="1:2">
      <c r="A19" s="1602">
        <v>2015</v>
      </c>
      <c r="B19" s="1626">
        <f>'SUM 2015'!$E$49</f>
        <v>188636.79999999999</v>
      </c>
    </row>
    <row r="20" spans="1:2">
      <c r="A20" s="1602">
        <v>2016</v>
      </c>
      <c r="B20" s="1626">
        <f>'SUM 2016'!$E$49</f>
        <v>189572.9</v>
      </c>
    </row>
    <row r="21" spans="1:2">
      <c r="A21" s="1602">
        <v>2017</v>
      </c>
      <c r="B21" s="1626">
        <f>'SUM 2017'!$E$49</f>
        <v>176377.40000000002</v>
      </c>
    </row>
    <row r="22" spans="1:2">
      <c r="A22" s="1602">
        <v>2018</v>
      </c>
      <c r="B22" s="1626">
        <f>'SUM 2018'!$E$50</f>
        <v>173446.8</v>
      </c>
    </row>
    <row r="23" spans="1:2">
      <c r="A23" s="1602">
        <v>2019</v>
      </c>
      <c r="B23" s="1626">
        <f>'SUM 2019'!$E$50</f>
        <v>173589.9</v>
      </c>
    </row>
    <row r="24" spans="1:2">
      <c r="A24" s="1602">
        <v>2020</v>
      </c>
      <c r="B24" s="1626">
        <f>'SUM 2020'!$E$50</f>
        <v>172851.90000000002</v>
      </c>
    </row>
    <row r="25" spans="1:2">
      <c r="A25" s="1634">
        <v>2021</v>
      </c>
      <c r="B25" s="1626">
        <f>'SUM 2021'!$E$50</f>
        <v>163686.9</v>
      </c>
    </row>
  </sheetData>
  <pageMargins left="0.7" right="0.7" top="0.75" bottom="0.75" header="0.3" footer="0.3"/>
  <pageSetup orientation="portrait" horizontalDpi="90" verticalDpi="90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7C393-8F38-470B-9D59-C13750953232}">
  <sheetPr>
    <pageSetUpPr fitToPage="1"/>
  </sheetPr>
  <dimension ref="A1:AC70"/>
  <sheetViews>
    <sheetView zoomScale="60" zoomScaleNormal="60" workbookViewId="0">
      <pane ySplit="1" topLeftCell="A2" activePane="bottomLeft" state="frozen"/>
      <selection activeCell="C1" sqref="C1"/>
      <selection pane="bottomLeft" sqref="A1:B2"/>
    </sheetView>
  </sheetViews>
  <sheetFormatPr defaultRowHeight="12.75"/>
  <cols>
    <col min="1" max="1" width="9.7109375" customWidth="1"/>
    <col min="2" max="2" width="3.85546875" customWidth="1"/>
    <col min="3" max="3" width="29.140625" customWidth="1"/>
    <col min="4" max="4" width="15.140625" customWidth="1"/>
    <col min="5" max="5" width="13.85546875" customWidth="1"/>
    <col min="6" max="7" width="11.7109375" customWidth="1"/>
    <col min="8" max="8" width="14.140625" customWidth="1"/>
    <col min="9" max="9" width="5" style="1557" customWidth="1"/>
    <col min="10" max="10" width="17.140625" customWidth="1"/>
    <col min="11" max="11" width="5.42578125" customWidth="1"/>
    <col min="12" max="12" width="8.42578125" customWidth="1"/>
    <col min="13" max="13" width="15.85546875" customWidth="1"/>
    <col min="14" max="14" width="13.42578125" customWidth="1"/>
    <col min="15" max="15" width="16.42578125" customWidth="1"/>
    <col min="16" max="17" width="14.7109375" customWidth="1"/>
    <col min="18" max="18" width="13.140625" customWidth="1"/>
    <col min="19" max="19" width="14.140625" customWidth="1"/>
    <col min="20" max="20" width="8.42578125" customWidth="1"/>
    <col min="21" max="21" width="12.85546875" customWidth="1"/>
    <col min="22" max="22" width="13.5703125" customWidth="1"/>
    <col min="23" max="23" width="10.28515625" customWidth="1"/>
    <col min="24" max="24" width="12.5703125" customWidth="1"/>
    <col min="25" max="25" width="11.7109375" customWidth="1"/>
    <col min="26" max="26" width="11.28515625" customWidth="1"/>
  </cols>
  <sheetData>
    <row r="1" spans="1:24" ht="68.25" customHeight="1">
      <c r="A1" s="1959" t="s">
        <v>6</v>
      </c>
      <c r="B1" s="1960"/>
      <c r="C1" s="1963" t="s">
        <v>162</v>
      </c>
      <c r="D1" s="1965" t="s">
        <v>532</v>
      </c>
      <c r="E1" s="1967" t="s">
        <v>289</v>
      </c>
      <c r="F1" s="1967" t="s">
        <v>187</v>
      </c>
      <c r="G1" s="1967" t="s">
        <v>288</v>
      </c>
      <c r="H1" s="1945" t="s">
        <v>238</v>
      </c>
      <c r="I1" s="1947" t="s">
        <v>350</v>
      </c>
      <c r="J1" s="1948"/>
      <c r="K1" s="1951"/>
      <c r="L1" s="1380"/>
      <c r="M1" s="1953" t="s">
        <v>478</v>
      </c>
      <c r="N1" s="1955" t="s">
        <v>208</v>
      </c>
      <c r="O1" s="1957" t="s">
        <v>470</v>
      </c>
      <c r="P1" s="1936" t="s">
        <v>533</v>
      </c>
      <c r="Q1" s="1938" t="s">
        <v>534</v>
      </c>
      <c r="R1" s="1940" t="s">
        <v>185</v>
      </c>
      <c r="S1" s="1701" t="s">
        <v>320</v>
      </c>
      <c r="T1" s="1381"/>
      <c r="U1" s="1382"/>
      <c r="V1" s="1382"/>
      <c r="W1" s="1382"/>
      <c r="X1" s="1382"/>
    </row>
    <row r="2" spans="1:24" ht="7.5" customHeight="1" thickBot="1">
      <c r="A2" s="1961"/>
      <c r="B2" s="1962"/>
      <c r="C2" s="1964"/>
      <c r="D2" s="1966"/>
      <c r="E2" s="1968"/>
      <c r="F2" s="1968"/>
      <c r="G2" s="1968"/>
      <c r="H2" s="1946"/>
      <c r="I2" s="1949"/>
      <c r="J2" s="1950"/>
      <c r="K2" s="1952"/>
      <c r="L2" s="1380"/>
      <c r="M2" s="1954"/>
      <c r="N2" s="1956"/>
      <c r="O2" s="1958"/>
      <c r="P2" s="1937"/>
      <c r="Q2" s="1939"/>
      <c r="R2" s="1941"/>
      <c r="S2" s="1381"/>
      <c r="T2" s="1584"/>
      <c r="U2" s="1685"/>
      <c r="V2" s="1382"/>
      <c r="W2" s="1382"/>
      <c r="X2" s="1382"/>
    </row>
    <row r="3" spans="1:24" ht="18.75" hidden="1" customHeight="1">
      <c r="A3" s="794" t="s">
        <v>412</v>
      </c>
      <c r="B3" s="795"/>
      <c r="C3" s="796"/>
      <c r="D3" s="1240"/>
      <c r="E3" s="1241"/>
      <c r="F3" s="1241"/>
      <c r="G3" s="1241"/>
      <c r="H3" s="1242"/>
      <c r="I3" s="1544"/>
      <c r="J3" s="1301"/>
      <c r="K3" s="1560"/>
      <c r="L3" s="1215"/>
      <c r="M3" s="1245">
        <f>'SUM 2015'!D3</f>
        <v>0</v>
      </c>
      <c r="N3" s="1216"/>
      <c r="O3" s="1531"/>
      <c r="P3" s="1246"/>
      <c r="Q3" s="1198"/>
      <c r="R3" s="1217"/>
      <c r="S3" s="1200"/>
      <c r="T3" s="921"/>
      <c r="U3" s="793"/>
      <c r="V3" s="793"/>
      <c r="W3" s="793"/>
      <c r="X3" s="793"/>
    </row>
    <row r="4" spans="1:24" ht="18.75" hidden="1" customHeight="1">
      <c r="A4" s="805" t="s">
        <v>410</v>
      </c>
      <c r="B4" s="806"/>
      <c r="C4" s="931" t="s">
        <v>125</v>
      </c>
      <c r="D4" s="854">
        <v>0</v>
      </c>
      <c r="E4" s="855">
        <v>0</v>
      </c>
      <c r="F4" s="855">
        <v>0</v>
      </c>
      <c r="G4" s="855">
        <v>0</v>
      </c>
      <c r="H4" s="964">
        <v>0</v>
      </c>
      <c r="I4" s="1545" t="s">
        <v>185</v>
      </c>
      <c r="J4" s="1302">
        <v>0</v>
      </c>
      <c r="K4" s="1560"/>
      <c r="L4" s="1195"/>
      <c r="M4" s="859">
        <f>'SUM 2015'!D4</f>
        <v>0</v>
      </c>
      <c r="N4" s="1196">
        <f>D4-M4</f>
        <v>0</v>
      </c>
      <c r="O4" s="1530">
        <v>2018</v>
      </c>
      <c r="P4" s="861">
        <v>0</v>
      </c>
      <c r="Q4" s="1198">
        <f>E4-P4</f>
        <v>0</v>
      </c>
      <c r="R4" s="793"/>
      <c r="S4" s="1200"/>
    </row>
    <row r="5" spans="1:24" ht="18.75">
      <c r="A5" s="1565" t="s">
        <v>246</v>
      </c>
      <c r="B5" s="1566"/>
      <c r="C5" s="1567"/>
      <c r="D5" s="1248"/>
      <c r="E5" s="1249"/>
      <c r="F5" s="1249"/>
      <c r="G5" s="1249"/>
      <c r="H5" s="965"/>
      <c r="I5" s="1546"/>
      <c r="J5" s="1303"/>
      <c r="K5" s="1560"/>
      <c r="L5" s="1195"/>
      <c r="M5" s="1248"/>
      <c r="N5" s="1219"/>
      <c r="O5" s="1689">
        <v>2020</v>
      </c>
      <c r="P5" s="1250"/>
      <c r="Q5" s="1198"/>
      <c r="R5" s="1199"/>
      <c r="S5" s="1200"/>
    </row>
    <row r="6" spans="1:24" ht="18.75">
      <c r="A6" s="1568" t="s">
        <v>321</v>
      </c>
      <c r="B6" s="1569"/>
      <c r="C6" s="1570" t="s">
        <v>144</v>
      </c>
      <c r="D6" s="1635">
        <v>0</v>
      </c>
      <c r="E6" s="1593">
        <v>2578.4</v>
      </c>
      <c r="F6" s="1593">
        <v>0</v>
      </c>
      <c r="G6" s="1593">
        <v>0</v>
      </c>
      <c r="H6" s="1636">
        <v>0</v>
      </c>
      <c r="I6" s="1637" t="s">
        <v>185</v>
      </c>
      <c r="J6" s="1638">
        <f>ROUND(6170+12.85*E6,2)</f>
        <v>39302.44</v>
      </c>
      <c r="K6" s="1560"/>
      <c r="L6" s="1195"/>
      <c r="M6" s="859">
        <f>'SUM 2020'!D6</f>
        <v>250766</v>
      </c>
      <c r="N6" s="1196">
        <f>D6-M6</f>
        <v>-250766</v>
      </c>
      <c r="O6" s="1387">
        <f>N6/M6</f>
        <v>-1</v>
      </c>
      <c r="P6" s="1593">
        <v>2578.4</v>
      </c>
      <c r="Q6" s="1589">
        <f>E6-P6</f>
        <v>0</v>
      </c>
      <c r="R6" s="1590">
        <f>12.85*Q6</f>
        <v>0</v>
      </c>
      <c r="S6" s="1200"/>
    </row>
    <row r="7" spans="1:24" ht="24.75" customHeight="1">
      <c r="A7" s="1571" t="s">
        <v>147</v>
      </c>
      <c r="B7" s="1572"/>
      <c r="C7" s="1573"/>
      <c r="D7" s="1639"/>
      <c r="E7" s="1594"/>
      <c r="F7" s="1594"/>
      <c r="G7" s="1594"/>
      <c r="H7" s="1640"/>
      <c r="I7" s="1641"/>
      <c r="J7" s="1642"/>
      <c r="K7" s="1560"/>
      <c r="L7" s="1195"/>
      <c r="M7" s="1253"/>
      <c r="N7" s="1226"/>
      <c r="O7" s="1272"/>
      <c r="P7" s="1594"/>
      <c r="Q7" s="1198"/>
      <c r="R7" s="1590"/>
      <c r="S7" s="1200"/>
    </row>
    <row r="8" spans="1:24" ht="25.5" hidden="1" customHeight="1">
      <c r="A8" s="1574" t="s">
        <v>223</v>
      </c>
      <c r="B8" s="1575"/>
      <c r="C8" s="1427" t="s">
        <v>127</v>
      </c>
      <c r="D8" s="1428">
        <v>0</v>
      </c>
      <c r="E8" s="1429">
        <v>0</v>
      </c>
      <c r="F8" s="1429">
        <v>0</v>
      </c>
      <c r="G8" s="1429">
        <v>0</v>
      </c>
      <c r="H8" s="1643">
        <v>0</v>
      </c>
      <c r="I8" s="1644" t="s">
        <v>185</v>
      </c>
      <c r="J8" s="1645">
        <v>0</v>
      </c>
      <c r="K8" s="1560"/>
      <c r="L8" s="1195"/>
      <c r="M8" s="865">
        <v>0</v>
      </c>
      <c r="N8" s="1204">
        <f>D8-M8</f>
        <v>0</v>
      </c>
      <c r="O8" s="1530">
        <v>2019</v>
      </c>
      <c r="P8" s="1429">
        <v>0</v>
      </c>
      <c r="Q8" s="1198">
        <f>E8-P8</f>
        <v>0</v>
      </c>
      <c r="R8" s="1591"/>
      <c r="S8" s="1200"/>
    </row>
    <row r="9" spans="1:24" ht="18.75">
      <c r="A9" s="1574" t="s">
        <v>224</v>
      </c>
      <c r="B9" s="1575"/>
      <c r="C9" s="1427" t="s">
        <v>128</v>
      </c>
      <c r="D9" s="1428">
        <v>0</v>
      </c>
      <c r="E9" s="1429">
        <v>615.9</v>
      </c>
      <c r="F9" s="1429">
        <v>0</v>
      </c>
      <c r="G9" s="1429">
        <v>0</v>
      </c>
      <c r="H9" s="1646">
        <v>0</v>
      </c>
      <c r="I9" s="1644" t="s">
        <v>185</v>
      </c>
      <c r="J9" s="1645">
        <f>ROUND(6170+12.85*E9,2)</f>
        <v>14084.32</v>
      </c>
      <c r="K9" s="1560"/>
      <c r="L9" s="1195"/>
      <c r="M9" s="859">
        <f>'SUM 2020'!D9</f>
        <v>0</v>
      </c>
      <c r="N9" s="1204">
        <f>D9-M9</f>
        <v>0</v>
      </c>
      <c r="O9" s="1384">
        <v>2004</v>
      </c>
      <c r="P9" s="1429">
        <v>615.9</v>
      </c>
      <c r="Q9" s="1198">
        <f>E9-P9</f>
        <v>0</v>
      </c>
      <c r="R9" s="1590"/>
      <c r="S9" s="1374"/>
    </row>
    <row r="10" spans="1:24" ht="19.5" hidden="1" thickBot="1">
      <c r="A10" s="1574" t="s">
        <v>291</v>
      </c>
      <c r="B10" s="1575"/>
      <c r="C10" s="1427" t="s">
        <v>177</v>
      </c>
      <c r="D10" s="1647">
        <v>0</v>
      </c>
      <c r="E10" s="1595">
        <v>0</v>
      </c>
      <c r="F10" s="1595">
        <v>0</v>
      </c>
      <c r="G10" s="1595">
        <v>0</v>
      </c>
      <c r="H10" s="1648">
        <v>0</v>
      </c>
      <c r="I10" s="1649" t="s">
        <v>185</v>
      </c>
      <c r="J10" s="1650">
        <v>0</v>
      </c>
      <c r="K10" s="1561"/>
      <c r="L10" s="1195"/>
      <c r="M10" s="1261">
        <v>0</v>
      </c>
      <c r="N10" s="1206">
        <f>D10-M10</f>
        <v>0</v>
      </c>
      <c r="O10" s="1530">
        <v>2021</v>
      </c>
      <c r="P10" s="1595">
        <v>0</v>
      </c>
      <c r="Q10" s="1198">
        <f>E10-P10</f>
        <v>0</v>
      </c>
      <c r="R10" s="1590"/>
      <c r="S10" s="1200"/>
    </row>
    <row r="11" spans="1:24" ht="19.5" hidden="1" thickTop="1">
      <c r="A11" s="1576"/>
      <c r="B11" s="1577"/>
      <c r="C11" s="1578" t="s">
        <v>278</v>
      </c>
      <c r="D11" s="1635">
        <f>SUM(D8:D10)</f>
        <v>0</v>
      </c>
      <c r="E11" s="1593">
        <f>ROUND(SUM(E8:E10),1)</f>
        <v>615.9</v>
      </c>
      <c r="F11" s="1593">
        <f>SUM(F8:F10)</f>
        <v>0</v>
      </c>
      <c r="G11" s="1593">
        <f>SUM(G8:G10)</f>
        <v>0</v>
      </c>
      <c r="H11" s="1651"/>
      <c r="I11" s="1652" t="s">
        <v>185</v>
      </c>
      <c r="J11" s="1653">
        <f>SUM(J8:J10)</f>
        <v>14084.32</v>
      </c>
      <c r="K11" s="1561"/>
      <c r="L11" s="1432"/>
      <c r="M11" s="854">
        <f>SUM(M8:M10)</f>
        <v>0</v>
      </c>
      <c r="N11" s="1196">
        <f>D11-M11</f>
        <v>0</v>
      </c>
      <c r="O11" s="1386"/>
      <c r="P11" s="1593">
        <f>ROUND(SUM(P8:P10),1)</f>
        <v>615.9</v>
      </c>
      <c r="Q11" s="1198">
        <f>E11-P11</f>
        <v>0</v>
      </c>
      <c r="R11" s="1590"/>
      <c r="S11" s="1200"/>
    </row>
    <row r="12" spans="1:24" ht="18.75">
      <c r="A12" s="1565" t="s">
        <v>313</v>
      </c>
      <c r="B12" s="1579"/>
      <c r="C12" s="1580"/>
      <c r="D12" s="1428"/>
      <c r="E12" s="1429"/>
      <c r="F12" s="1429"/>
      <c r="G12" s="1429"/>
      <c r="H12" s="1646"/>
      <c r="I12" s="1654"/>
      <c r="J12" s="1655"/>
      <c r="K12" s="1561"/>
      <c r="L12" s="1195"/>
      <c r="M12" s="865"/>
      <c r="N12" s="1204"/>
      <c r="O12" s="1690"/>
      <c r="P12" s="1429"/>
      <c r="Q12" s="1198"/>
      <c r="R12" s="1590"/>
      <c r="S12" s="1200"/>
    </row>
    <row r="13" spans="1:24" ht="18.75" hidden="1">
      <c r="A13" s="1581">
        <v>57</v>
      </c>
      <c r="B13" s="1579"/>
      <c r="C13" s="1427" t="s">
        <v>314</v>
      </c>
      <c r="D13" s="1428">
        <v>0</v>
      </c>
      <c r="E13" s="1429">
        <v>0</v>
      </c>
      <c r="F13" s="1656">
        <v>0</v>
      </c>
      <c r="G13" s="1656">
        <v>0</v>
      </c>
      <c r="H13" s="1646">
        <v>0</v>
      </c>
      <c r="I13" s="1654" t="s">
        <v>185</v>
      </c>
      <c r="J13" s="1655">
        <v>0</v>
      </c>
      <c r="K13" s="1562"/>
      <c r="L13" s="1195"/>
      <c r="M13" s="865">
        <v>0</v>
      </c>
      <c r="N13" s="1204">
        <f>D13-M13</f>
        <v>0</v>
      </c>
      <c r="O13" s="1610">
        <v>2020</v>
      </c>
      <c r="P13" s="1429">
        <v>0</v>
      </c>
      <c r="Q13" s="1198">
        <f>E13-P13</f>
        <v>0</v>
      </c>
      <c r="R13" s="1590"/>
      <c r="S13" s="1200"/>
    </row>
    <row r="14" spans="1:24" ht="18.75">
      <c r="A14" s="1574" t="s">
        <v>491</v>
      </c>
      <c r="B14" s="1579"/>
      <c r="C14" s="1427" t="s">
        <v>326</v>
      </c>
      <c r="D14" s="1635">
        <v>0</v>
      </c>
      <c r="E14" s="1593">
        <v>1126</v>
      </c>
      <c r="F14" s="1657">
        <v>115.61</v>
      </c>
      <c r="G14" s="1657">
        <v>0</v>
      </c>
      <c r="H14" s="1658">
        <v>0</v>
      </c>
      <c r="I14" s="1652" t="s">
        <v>185</v>
      </c>
      <c r="J14" s="1653">
        <f>ROUND(6170+12.85*E14,2)</f>
        <v>20639.099999999999</v>
      </c>
      <c r="K14" s="1562"/>
      <c r="L14" s="1614"/>
      <c r="M14" s="854">
        <f>'SUM 2020'!D14</f>
        <v>83235</v>
      </c>
      <c r="N14" s="1196">
        <f>D14-M14</f>
        <v>-83235</v>
      </c>
      <c r="O14" s="1689">
        <v>2020</v>
      </c>
      <c r="P14" s="1593">
        <v>1126</v>
      </c>
      <c r="Q14" s="1198">
        <f>E14-P14</f>
        <v>0</v>
      </c>
      <c r="R14" s="1590">
        <f>12.85*Q14</f>
        <v>0</v>
      </c>
      <c r="S14" s="1200"/>
    </row>
    <row r="15" spans="1:24" ht="18.75" hidden="1">
      <c r="A15" s="1581"/>
      <c r="B15" s="1579"/>
      <c r="C15" s="1580" t="s">
        <v>325</v>
      </c>
      <c r="D15" s="1659">
        <f>SUM(D13:D14)</f>
        <v>0</v>
      </c>
      <c r="E15" s="1596">
        <f>ROUND(SUM(E13:E14),1)</f>
        <v>1126</v>
      </c>
      <c r="F15" s="1660">
        <f t="shared" ref="F15:G15" si="0">SUM(F13:F14)</f>
        <v>115.61</v>
      </c>
      <c r="G15" s="1660">
        <f t="shared" si="0"/>
        <v>0</v>
      </c>
      <c r="H15" s="1661"/>
      <c r="I15" s="1662"/>
      <c r="J15" s="1645">
        <f>SUM(J13:J14)</f>
        <v>20639.099999999999</v>
      </c>
      <c r="K15" s="1563"/>
      <c r="L15" s="1195"/>
      <c r="M15" s="870">
        <f>SUM(M13:M14)</f>
        <v>83235</v>
      </c>
      <c r="N15" s="1204">
        <f>SUM(N13:N14)</f>
        <v>-83235</v>
      </c>
      <c r="O15" s="1693">
        <f>N15/M15</f>
        <v>-1</v>
      </c>
      <c r="P15" s="1596">
        <f>ROUND(SUM(P13:P14),1)</f>
        <v>1126</v>
      </c>
      <c r="Q15" s="1684"/>
      <c r="R15" s="1590"/>
      <c r="S15" s="1200"/>
    </row>
    <row r="16" spans="1:24" ht="18.75">
      <c r="A16" s="1571" t="s">
        <v>552</v>
      </c>
      <c r="B16" s="1572"/>
      <c r="C16" s="1573"/>
      <c r="D16" s="1639"/>
      <c r="E16" s="1594"/>
      <c r="F16" s="1594"/>
      <c r="G16" s="1594"/>
      <c r="H16" s="1640"/>
      <c r="I16" s="1641"/>
      <c r="J16" s="1642"/>
      <c r="K16" s="1563"/>
      <c r="L16" s="1195"/>
      <c r="M16" s="1253"/>
      <c r="N16" s="1226"/>
      <c r="O16" s="1272"/>
      <c r="P16" s="1594"/>
      <c r="Q16" s="1198"/>
      <c r="R16" s="1590"/>
      <c r="S16" s="1200"/>
    </row>
    <row r="17" spans="1:29" ht="18.75">
      <c r="A17" s="1574" t="s">
        <v>537</v>
      </c>
      <c r="B17" s="1575"/>
      <c r="C17" s="1427" t="s">
        <v>132</v>
      </c>
      <c r="D17" s="1428">
        <v>0</v>
      </c>
      <c r="E17" s="1429">
        <v>10940.2</v>
      </c>
      <c r="F17" s="1429">
        <v>0</v>
      </c>
      <c r="G17" s="1429">
        <v>0</v>
      </c>
      <c r="H17" s="1661">
        <v>0</v>
      </c>
      <c r="I17" s="1644" t="s">
        <v>185</v>
      </c>
      <c r="J17" s="1645">
        <f>ROUND(6170+12.85*E17,2)</f>
        <v>146751.57</v>
      </c>
      <c r="K17" s="1563"/>
      <c r="L17" s="1195"/>
      <c r="M17" s="865">
        <v>0</v>
      </c>
      <c r="N17" s="1204">
        <f>D17-M17</f>
        <v>0</v>
      </c>
      <c r="O17" s="1384" t="s">
        <v>430</v>
      </c>
      <c r="P17" s="1593">
        <v>10940.2</v>
      </c>
      <c r="Q17" s="1198">
        <f>E17-P17</f>
        <v>0</v>
      </c>
      <c r="R17" s="1590"/>
      <c r="S17" s="1200"/>
      <c r="T17" s="921"/>
      <c r="U17" s="793"/>
      <c r="V17" s="793"/>
      <c r="W17" s="793"/>
      <c r="X17" s="793"/>
    </row>
    <row r="18" spans="1:29" ht="19.5" thickBot="1">
      <c r="A18" s="1574" t="s">
        <v>538</v>
      </c>
      <c r="B18" s="1575"/>
      <c r="C18" s="1427" t="s">
        <v>157</v>
      </c>
      <c r="D18" s="1647">
        <v>0</v>
      </c>
      <c r="E18" s="1595">
        <v>4457.7</v>
      </c>
      <c r="F18" s="1595">
        <v>38</v>
      </c>
      <c r="G18" s="1595">
        <v>0</v>
      </c>
      <c r="H18" s="1663">
        <v>0</v>
      </c>
      <c r="I18" s="1664" t="s">
        <v>185</v>
      </c>
      <c r="J18" s="1650">
        <f>ROUND(6170+12.85*E18,2)</f>
        <v>63451.45</v>
      </c>
      <c r="K18" s="1563"/>
      <c r="L18" s="1195"/>
      <c r="M18" s="1261">
        <v>0</v>
      </c>
      <c r="N18" s="1206">
        <f>D18-M18</f>
        <v>0</v>
      </c>
      <c r="O18" s="1384">
        <v>2015</v>
      </c>
      <c r="P18" s="1593">
        <v>4457.7</v>
      </c>
      <c r="Q18" s="1198">
        <f t="shared" ref="Q18:Q27" si="1">E18-P18</f>
        <v>0</v>
      </c>
      <c r="R18" s="1590"/>
      <c r="S18" s="1200"/>
      <c r="T18" s="921"/>
      <c r="U18" s="793"/>
      <c r="V18" s="793"/>
      <c r="W18" s="793"/>
      <c r="X18" s="793"/>
    </row>
    <row r="19" spans="1:29" ht="19.5" thickTop="1">
      <c r="A19" s="1576"/>
      <c r="B19" s="1577"/>
      <c r="C19" s="1578" t="s">
        <v>279</v>
      </c>
      <c r="D19" s="1665">
        <f>SUM(D17:D18)</f>
        <v>0</v>
      </c>
      <c r="E19" s="1597">
        <f>ROUND(SUM(E17:E18),2)</f>
        <v>15397.9</v>
      </c>
      <c r="F19" s="1597">
        <f>SUM(F17:F18)</f>
        <v>38</v>
      </c>
      <c r="G19" s="1597">
        <f>SUM(G17:G18)</f>
        <v>0</v>
      </c>
      <c r="H19" s="1651">
        <f>SUM(H16:H18)</f>
        <v>0</v>
      </c>
      <c r="I19" s="1637" t="s">
        <v>185</v>
      </c>
      <c r="J19" s="1638">
        <f>SUM(J17:J18)</f>
        <v>210203.02000000002</v>
      </c>
      <c r="K19" s="1563"/>
      <c r="L19" s="1195"/>
      <c r="M19" s="859">
        <f>SUM(M17:M18)</f>
        <v>0</v>
      </c>
      <c r="N19" s="1196">
        <f>D19-M19</f>
        <v>0</v>
      </c>
      <c r="O19" s="1272"/>
      <c r="P19" s="1597">
        <f>ROUND(SUM(P17:P18),2)</f>
        <v>15397.9</v>
      </c>
      <c r="Q19" s="1198"/>
      <c r="R19" s="1590"/>
      <c r="S19" s="1200"/>
      <c r="AA19" s="1624"/>
    </row>
    <row r="20" spans="1:29" ht="18.75">
      <c r="A20" s="1571" t="s">
        <v>75</v>
      </c>
      <c r="B20" s="1572"/>
      <c r="C20" s="1573"/>
      <c r="D20" s="1639"/>
      <c r="E20" s="1594"/>
      <c r="F20" s="1594"/>
      <c r="G20" s="1594"/>
      <c r="H20" s="1640"/>
      <c r="I20" s="1641"/>
      <c r="J20" s="1642"/>
      <c r="K20" s="1563"/>
      <c r="L20" s="1195"/>
      <c r="M20" s="1253"/>
      <c r="N20" s="1226"/>
      <c r="O20" s="1272"/>
      <c r="P20" s="1594"/>
      <c r="Q20" s="1198"/>
      <c r="R20" s="1590"/>
      <c r="S20" s="1200"/>
    </row>
    <row r="21" spans="1:29" ht="18.75">
      <c r="A21" s="1574" t="s">
        <v>492</v>
      </c>
      <c r="B21" s="1575"/>
      <c r="C21" s="1427" t="s">
        <v>216</v>
      </c>
      <c r="D21" s="1428">
        <v>850117</v>
      </c>
      <c r="E21" s="1429">
        <v>19783</v>
      </c>
      <c r="F21" s="1429">
        <v>140.1</v>
      </c>
      <c r="G21" s="1429">
        <v>140.9</v>
      </c>
      <c r="H21" s="1661">
        <f>D21/G21</f>
        <v>6033.4776437189494</v>
      </c>
      <c r="I21" s="1644" t="s">
        <v>185</v>
      </c>
      <c r="J21" s="1645">
        <f>ROUND(6170+12.85*E21,2)</f>
        <v>260381.55</v>
      </c>
      <c r="K21" s="1563"/>
      <c r="L21" s="1195"/>
      <c r="M21" s="865">
        <f>'SUM 2020'!D21</f>
        <v>693180</v>
      </c>
      <c r="N21" s="1204">
        <f>D21-M21</f>
        <v>156937</v>
      </c>
      <c r="O21" s="1692">
        <f>N21/M21</f>
        <v>0.22640151187281804</v>
      </c>
      <c r="P21" s="1593">
        <v>19783.099999999999</v>
      </c>
      <c r="Q21" s="1198">
        <f t="shared" si="1"/>
        <v>-9.9999999998544808E-2</v>
      </c>
      <c r="R21" s="1590">
        <f>12.85*Q21</f>
        <v>-1.2849999999813007</v>
      </c>
      <c r="S21" s="1200"/>
      <c r="AA21" s="1622"/>
      <c r="AB21" s="1622"/>
      <c r="AC21" s="1622"/>
    </row>
    <row r="22" spans="1:29" ht="19.5" thickBot="1">
      <c r="A22" s="1574" t="s">
        <v>418</v>
      </c>
      <c r="B22" s="1575"/>
      <c r="C22" s="1427" t="s">
        <v>293</v>
      </c>
      <c r="D22" s="1647">
        <v>1015508</v>
      </c>
      <c r="E22" s="1595">
        <v>9070</v>
      </c>
      <c r="F22" s="1595">
        <v>51.6</v>
      </c>
      <c r="G22" s="1595">
        <v>57.8</v>
      </c>
      <c r="H22" s="1663">
        <f>D22/G22</f>
        <v>17569.342560553636</v>
      </c>
      <c r="I22" s="1664" t="s">
        <v>185</v>
      </c>
      <c r="J22" s="1650">
        <f>ROUND(6170+12.85*E22,2)</f>
        <v>122719.5</v>
      </c>
      <c r="K22" s="1563"/>
      <c r="L22" s="1195"/>
      <c r="M22" s="1261">
        <f>'SUM 2020'!D22</f>
        <v>933156</v>
      </c>
      <c r="N22" s="1206">
        <f>D22-M22</f>
        <v>82352</v>
      </c>
      <c r="O22" s="1692">
        <f>N22/M22</f>
        <v>8.8251053414434455E-2</v>
      </c>
      <c r="P22" s="1593">
        <v>9070</v>
      </c>
      <c r="Q22" s="1198">
        <f t="shared" si="1"/>
        <v>0</v>
      </c>
      <c r="R22" s="1590"/>
      <c r="S22" s="1200"/>
      <c r="AC22" s="1622"/>
    </row>
    <row r="23" spans="1:29" ht="19.5" thickTop="1">
      <c r="A23" s="1582"/>
      <c r="B23" s="1583"/>
      <c r="C23" s="1580" t="s">
        <v>294</v>
      </c>
      <c r="D23" s="1659">
        <f>SUM(D21:D22)</f>
        <v>1865625</v>
      </c>
      <c r="E23" s="1596">
        <f>ROUND(SUM(E21:E22),2)</f>
        <v>28853</v>
      </c>
      <c r="F23" s="1596">
        <f>SUM(F21:F22)</f>
        <v>191.7</v>
      </c>
      <c r="G23" s="1596">
        <f>SUM(G21:G22)</f>
        <v>198.7</v>
      </c>
      <c r="H23" s="1646"/>
      <c r="I23" s="1644" t="s">
        <v>185</v>
      </c>
      <c r="J23" s="1645">
        <f>SUM(J21:J22)</f>
        <v>383101.05</v>
      </c>
      <c r="K23" s="1563"/>
      <c r="L23" s="1195"/>
      <c r="M23" s="870">
        <f>'SUM 2020'!D23</f>
        <v>1626336</v>
      </c>
      <c r="N23" s="1204">
        <f>SUM(N21:N22)</f>
        <v>239289</v>
      </c>
      <c r="O23" s="1386">
        <f>N23/M23</f>
        <v>0.14713380260905495</v>
      </c>
      <c r="P23" s="1596">
        <f>ROUND(SUM(P21:P22),2)</f>
        <v>28853.1</v>
      </c>
      <c r="Q23" s="1198"/>
      <c r="R23" s="1590"/>
      <c r="S23" s="1200"/>
      <c r="AC23" s="1622"/>
    </row>
    <row r="24" spans="1:29" ht="18.75">
      <c r="A24" s="1571" t="s">
        <v>338</v>
      </c>
      <c r="B24" s="1572"/>
      <c r="C24" s="1573"/>
      <c r="D24" s="1639"/>
      <c r="E24" s="1594"/>
      <c r="F24" s="1594"/>
      <c r="G24" s="1594"/>
      <c r="H24" s="1640"/>
      <c r="I24" s="1641"/>
      <c r="J24" s="1642"/>
      <c r="K24" s="1563"/>
      <c r="L24" s="1195"/>
      <c r="M24" s="1253"/>
      <c r="N24" s="1221"/>
      <c r="O24" s="1272"/>
      <c r="P24" s="1594"/>
      <c r="Q24" s="1198"/>
      <c r="R24" s="1590"/>
      <c r="S24" s="1200"/>
      <c r="AC24" s="1622"/>
    </row>
    <row r="25" spans="1:29" ht="18.75">
      <c r="A25" s="1574" t="s">
        <v>539</v>
      </c>
      <c r="B25" s="1575"/>
      <c r="C25" s="1427" t="s">
        <v>151</v>
      </c>
      <c r="D25" s="1428">
        <v>473030</v>
      </c>
      <c r="E25" s="1429">
        <v>5830</v>
      </c>
      <c r="F25" s="1656">
        <v>56.4</v>
      </c>
      <c r="G25" s="1656">
        <v>33.9</v>
      </c>
      <c r="H25" s="1661">
        <f>D25/G25</f>
        <v>13953.687315634219</v>
      </c>
      <c r="I25" s="1644" t="s">
        <v>185</v>
      </c>
      <c r="J25" s="1645">
        <f>ROUND(6170+12.85*E25,2)</f>
        <v>81085.5</v>
      </c>
      <c r="K25" s="1563"/>
      <c r="L25" s="1195"/>
      <c r="M25" s="865">
        <f>'SUM 2020'!D25</f>
        <v>655269</v>
      </c>
      <c r="N25" s="1204">
        <f>D25-M25</f>
        <v>-182239</v>
      </c>
      <c r="O25" s="1695">
        <f>N25/M25</f>
        <v>-0.27811326340785236</v>
      </c>
      <c r="P25" s="1593">
        <v>5830.01</v>
      </c>
      <c r="Q25" s="1198">
        <f t="shared" si="1"/>
        <v>-1.0000000000218279E-2</v>
      </c>
      <c r="R25" s="1590"/>
      <c r="S25" s="1200"/>
      <c r="AC25" s="1622"/>
    </row>
    <row r="26" spans="1:29" ht="18.75">
      <c r="A26" s="1574" t="s">
        <v>323</v>
      </c>
      <c r="B26" s="1575"/>
      <c r="C26" s="1427" t="s">
        <v>244</v>
      </c>
      <c r="D26" s="1428">
        <v>0</v>
      </c>
      <c r="E26" s="1429">
        <v>3357.3</v>
      </c>
      <c r="F26" s="1656">
        <v>0</v>
      </c>
      <c r="G26" s="1656">
        <v>0</v>
      </c>
      <c r="H26" s="1661">
        <v>0</v>
      </c>
      <c r="I26" s="1644" t="s">
        <v>185</v>
      </c>
      <c r="J26" s="1645">
        <f>ROUND(6170+12.85*E26,2)</f>
        <v>49311.31</v>
      </c>
      <c r="K26" s="1563"/>
      <c r="L26" s="1195"/>
      <c r="M26" s="865">
        <f>'SUM 2020'!D26</f>
        <v>0</v>
      </c>
      <c r="N26" s="1204">
        <f>D26-M26</f>
        <v>0</v>
      </c>
      <c r="O26" s="1618">
        <v>2018</v>
      </c>
      <c r="P26" s="1593">
        <v>3357.3</v>
      </c>
      <c r="Q26" s="1198">
        <f t="shared" si="1"/>
        <v>0</v>
      </c>
      <c r="R26" s="1590"/>
      <c r="S26" s="1200"/>
      <c r="AC26" s="1622"/>
    </row>
    <row r="27" spans="1:29" ht="19.5" thickBot="1">
      <c r="A27" s="1574">
        <v>60</v>
      </c>
      <c r="B27" s="1575"/>
      <c r="C27" s="1427" t="s">
        <v>419</v>
      </c>
      <c r="D27" s="1647">
        <v>2196647</v>
      </c>
      <c r="E27" s="1595">
        <v>1968</v>
      </c>
      <c r="F27" s="1666">
        <v>178.4</v>
      </c>
      <c r="G27" s="1666">
        <v>184.3</v>
      </c>
      <c r="H27" s="1663">
        <f>D27/G27</f>
        <v>11918.865979381442</v>
      </c>
      <c r="I27" s="1664" t="s">
        <v>185</v>
      </c>
      <c r="J27" s="1650">
        <f>ROUND(6170+12.85*E27,2)</f>
        <v>31458.799999999999</v>
      </c>
      <c r="K27" s="1563"/>
      <c r="L27" s="1195"/>
      <c r="M27" s="1261">
        <f>'SUM 2020'!D27</f>
        <v>1992447</v>
      </c>
      <c r="N27" s="1206">
        <f>D27-M27</f>
        <v>204200</v>
      </c>
      <c r="O27" s="1379">
        <f t="shared" ref="O27" si="2">N27/M27</f>
        <v>0.10248704231530374</v>
      </c>
      <c r="P27" s="1593">
        <v>1968</v>
      </c>
      <c r="Q27" s="1198">
        <f t="shared" si="1"/>
        <v>0</v>
      </c>
      <c r="R27" s="1590"/>
      <c r="S27" s="1200"/>
      <c r="AC27" s="1622"/>
    </row>
    <row r="28" spans="1:29" ht="19.5" thickTop="1">
      <c r="A28" s="1582"/>
      <c r="B28" s="1583"/>
      <c r="C28" s="1580" t="s">
        <v>280</v>
      </c>
      <c r="D28" s="1659">
        <f>SUM(D25:D27)</f>
        <v>2669677</v>
      </c>
      <c r="E28" s="1596">
        <f>ROUND(SUM(E25:E27),2)</f>
        <v>11155.3</v>
      </c>
      <c r="F28" s="1660">
        <f>SUM(F25:F27)</f>
        <v>234.8</v>
      </c>
      <c r="G28" s="1660">
        <f>SUM(G25:G27)</f>
        <v>218.20000000000002</v>
      </c>
      <c r="H28" s="1646"/>
      <c r="I28" s="1644" t="s">
        <v>185</v>
      </c>
      <c r="J28" s="1645">
        <f>SUM(J25:J27)</f>
        <v>161855.60999999999</v>
      </c>
      <c r="K28" s="1563"/>
      <c r="L28" s="1195"/>
      <c r="M28" s="870">
        <f>'SUM 2020'!D28</f>
        <v>2647716</v>
      </c>
      <c r="N28" s="1204">
        <f>SUM(N25:N27)</f>
        <v>21961</v>
      </c>
      <c r="O28" s="1386">
        <f>N28/M28</f>
        <v>8.2943185749529032E-3</v>
      </c>
      <c r="P28" s="1596">
        <f>ROUND(SUM(P25:P27),2)</f>
        <v>11155.31</v>
      </c>
      <c r="Q28" s="1198"/>
      <c r="R28" s="1590"/>
      <c r="S28" s="1200"/>
      <c r="AC28" s="1622"/>
    </row>
    <row r="29" spans="1:29" ht="18.75">
      <c r="A29" s="1571" t="s">
        <v>78</v>
      </c>
      <c r="B29" s="1572"/>
      <c r="C29" s="1573"/>
      <c r="D29" s="1639"/>
      <c r="E29" s="1594"/>
      <c r="F29" s="1594"/>
      <c r="G29" s="1594"/>
      <c r="H29" s="1640"/>
      <c r="I29" s="1641"/>
      <c r="J29" s="1642"/>
      <c r="K29" s="1563"/>
      <c r="L29" s="1195"/>
      <c r="M29" s="1253"/>
      <c r="N29" s="1226"/>
      <c r="O29" s="1272"/>
      <c r="P29" s="1594"/>
      <c r="Q29" s="1198"/>
      <c r="R29" s="1590"/>
      <c r="S29" s="1200"/>
      <c r="AC29" s="1622"/>
    </row>
    <row r="30" spans="1:29" ht="18.75">
      <c r="A30" s="1574" t="s">
        <v>230</v>
      </c>
      <c r="B30" s="1575"/>
      <c r="C30" s="1427" t="s">
        <v>134</v>
      </c>
      <c r="D30" s="1428">
        <v>0</v>
      </c>
      <c r="E30" s="1429">
        <v>684.1</v>
      </c>
      <c r="F30" s="1429">
        <v>0</v>
      </c>
      <c r="G30" s="1429">
        <v>0</v>
      </c>
      <c r="H30" s="1646">
        <v>0</v>
      </c>
      <c r="I30" s="1644" t="s">
        <v>185</v>
      </c>
      <c r="J30" s="1645">
        <f>ROUND(6170+12.85*E30,2)</f>
        <v>14960.69</v>
      </c>
      <c r="K30" s="1563"/>
      <c r="L30" s="1195"/>
      <c r="M30" s="865">
        <f>'SUM 2020'!D30</f>
        <v>0</v>
      </c>
      <c r="N30" s="1204">
        <f>D30-M30</f>
        <v>0</v>
      </c>
      <c r="O30" s="1384" t="s">
        <v>431</v>
      </c>
      <c r="P30" s="1593">
        <v>684.1</v>
      </c>
      <c r="Q30" s="1198">
        <f t="shared" ref="Q30:Q50" si="3">E30-P30</f>
        <v>0</v>
      </c>
      <c r="R30" s="1590">
        <f>12.85*Q30</f>
        <v>0</v>
      </c>
      <c r="S30" s="1230"/>
      <c r="AC30" s="1622"/>
    </row>
    <row r="31" spans="1:29" ht="19.5" thickBot="1">
      <c r="A31" s="1574" t="s">
        <v>231</v>
      </c>
      <c r="B31" s="1575"/>
      <c r="C31" s="1427" t="s">
        <v>178</v>
      </c>
      <c r="D31" s="1647">
        <v>0</v>
      </c>
      <c r="E31" s="1595">
        <v>271.3</v>
      </c>
      <c r="F31" s="1595">
        <v>0</v>
      </c>
      <c r="G31" s="1595">
        <v>0</v>
      </c>
      <c r="H31" s="1667">
        <v>0</v>
      </c>
      <c r="I31" s="1664" t="s">
        <v>185</v>
      </c>
      <c r="J31" s="1650">
        <f>ROUND(6170+12.85*E31,2)</f>
        <v>9656.2099999999991</v>
      </c>
      <c r="K31" s="1563"/>
      <c r="L31" s="1195"/>
      <c r="M31" s="1261">
        <f>'SUM 2020'!D31</f>
        <v>0</v>
      </c>
      <c r="N31" s="1206">
        <f>D31-M31</f>
        <v>0</v>
      </c>
      <c r="O31" s="1384">
        <v>1996</v>
      </c>
      <c r="P31" s="1593">
        <v>271.3</v>
      </c>
      <c r="Q31" s="1198">
        <f t="shared" si="3"/>
        <v>0</v>
      </c>
      <c r="R31" s="1590"/>
      <c r="S31" s="1230"/>
      <c r="AC31" s="1622"/>
    </row>
    <row r="32" spans="1:29" ht="19.5" thickTop="1">
      <c r="A32" s="1576"/>
      <c r="B32" s="1577"/>
      <c r="C32" s="1578" t="s">
        <v>281</v>
      </c>
      <c r="D32" s="1665">
        <f>SUM(D30:D31)</f>
        <v>0</v>
      </c>
      <c r="E32" s="1597">
        <f>ROUND(SUM(E30:E31),2)</f>
        <v>955.4</v>
      </c>
      <c r="F32" s="1597">
        <f>SUM(F30:F31)</f>
        <v>0</v>
      </c>
      <c r="G32" s="1597">
        <f>SUM(G30:G31)</f>
        <v>0</v>
      </c>
      <c r="H32" s="1658">
        <v>0</v>
      </c>
      <c r="I32" s="1652" t="s">
        <v>185</v>
      </c>
      <c r="J32" s="1653">
        <f>SUM(J30:J31)</f>
        <v>24616.9</v>
      </c>
      <c r="K32" s="1562"/>
      <c r="L32" s="1195"/>
      <c r="M32" s="859">
        <f>'SUM 2020'!D32</f>
        <v>0</v>
      </c>
      <c r="N32" s="1196">
        <f>D32-M32</f>
        <v>0</v>
      </c>
      <c r="O32" s="1386"/>
      <c r="P32" s="1597">
        <f>ROUND(SUM(P30:P31),2)</f>
        <v>955.4</v>
      </c>
      <c r="Q32" s="1198"/>
      <c r="R32" s="1590"/>
      <c r="S32" s="1200"/>
    </row>
    <row r="33" spans="1:24" ht="18.75">
      <c r="A33" s="1571" t="s">
        <v>219</v>
      </c>
      <c r="B33" s="1572"/>
      <c r="C33" s="1573"/>
      <c r="D33" s="1668"/>
      <c r="E33" s="1598"/>
      <c r="F33" s="1598"/>
      <c r="G33" s="1598"/>
      <c r="H33" s="1669"/>
      <c r="I33" s="1670"/>
      <c r="J33" s="1671"/>
      <c r="K33" s="1563"/>
      <c r="L33" s="1195"/>
      <c r="M33" s="1221"/>
      <c r="N33" s="1226"/>
      <c r="O33" s="1272"/>
      <c r="P33" s="1598"/>
      <c r="Q33" s="1198"/>
      <c r="R33" s="1590"/>
      <c r="S33" s="1200"/>
      <c r="T33" s="921"/>
    </row>
    <row r="34" spans="1:24" ht="18.75">
      <c r="A34" s="1574" t="s">
        <v>311</v>
      </c>
      <c r="B34" s="1575"/>
      <c r="C34" s="1427" t="s">
        <v>136</v>
      </c>
      <c r="D34" s="1428">
        <v>0</v>
      </c>
      <c r="E34" s="1429">
        <v>4364</v>
      </c>
      <c r="F34" s="1429">
        <v>0</v>
      </c>
      <c r="G34" s="1429">
        <v>0</v>
      </c>
      <c r="H34" s="1646">
        <v>0</v>
      </c>
      <c r="I34" s="1644" t="s">
        <v>185</v>
      </c>
      <c r="J34" s="1645">
        <f t="shared" ref="J34:J46" si="4">ROUND(6170+12.85*E34,2)</f>
        <v>62247.4</v>
      </c>
      <c r="K34" s="1563"/>
      <c r="L34" s="1195"/>
      <c r="M34" s="865">
        <f>'SUM 2020'!D34</f>
        <v>0</v>
      </c>
      <c r="N34" s="1204">
        <f t="shared" ref="N34:N47" si="5">D34-M34</f>
        <v>0</v>
      </c>
      <c r="O34" s="1384">
        <v>2011</v>
      </c>
      <c r="P34" s="1429">
        <v>4364</v>
      </c>
      <c r="Q34" s="1198">
        <f t="shared" si="3"/>
        <v>0</v>
      </c>
      <c r="R34" s="1590"/>
      <c r="S34" s="1200"/>
      <c r="T34" s="921"/>
    </row>
    <row r="35" spans="1:24" ht="18.75">
      <c r="A35" s="1574" t="s">
        <v>400</v>
      </c>
      <c r="B35" s="1575"/>
      <c r="C35" s="1427" t="s">
        <v>143</v>
      </c>
      <c r="D35" s="1428">
        <v>0</v>
      </c>
      <c r="E35" s="1429">
        <v>17098</v>
      </c>
      <c r="F35" s="1429">
        <v>0</v>
      </c>
      <c r="G35" s="1429">
        <v>0</v>
      </c>
      <c r="H35" s="1661">
        <v>0</v>
      </c>
      <c r="I35" s="1644" t="s">
        <v>185</v>
      </c>
      <c r="J35" s="1645">
        <f t="shared" si="4"/>
        <v>225879.3</v>
      </c>
      <c r="K35" s="1563"/>
      <c r="L35" s="1195"/>
      <c r="M35" s="865">
        <f>'SUM 2020'!D35</f>
        <v>0</v>
      </c>
      <c r="N35" s="1204">
        <f t="shared" si="5"/>
        <v>0</v>
      </c>
      <c r="O35" s="1609" t="s">
        <v>452</v>
      </c>
      <c r="P35" s="1429">
        <v>17098</v>
      </c>
      <c r="Q35" s="1198">
        <f t="shared" si="3"/>
        <v>0</v>
      </c>
      <c r="R35" s="1590"/>
      <c r="S35" s="1200"/>
      <c r="T35" s="921"/>
    </row>
    <row r="36" spans="1:24" ht="18.75">
      <c r="A36" s="1574" t="s">
        <v>324</v>
      </c>
      <c r="B36" s="1575"/>
      <c r="C36" s="1427" t="s">
        <v>137</v>
      </c>
      <c r="D36" s="1428">
        <v>0</v>
      </c>
      <c r="E36" s="1429">
        <v>18065</v>
      </c>
      <c r="F36" s="1429">
        <v>0</v>
      </c>
      <c r="G36" s="1429">
        <v>0</v>
      </c>
      <c r="H36" s="1661">
        <v>0</v>
      </c>
      <c r="I36" s="1644" t="s">
        <v>185</v>
      </c>
      <c r="J36" s="1645">
        <f t="shared" si="4"/>
        <v>238305.25</v>
      </c>
      <c r="K36" s="1563"/>
      <c r="L36" s="1195"/>
      <c r="M36" s="1428">
        <f>'SUM 2020'!D36</f>
        <v>0</v>
      </c>
      <c r="N36" s="1204">
        <f t="shared" si="5"/>
        <v>0</v>
      </c>
      <c r="O36" s="1384">
        <v>2016</v>
      </c>
      <c r="P36" s="1429">
        <v>18065</v>
      </c>
      <c r="Q36" s="1527">
        <f t="shared" si="3"/>
        <v>0</v>
      </c>
      <c r="R36" s="1590">
        <f>12.85*Q36</f>
        <v>0</v>
      </c>
      <c r="S36" s="1200"/>
      <c r="T36" s="921"/>
    </row>
    <row r="37" spans="1:24" ht="18.75">
      <c r="A37" s="1574" t="s">
        <v>333</v>
      </c>
      <c r="B37" s="1575"/>
      <c r="C37" s="1427" t="s">
        <v>145</v>
      </c>
      <c r="D37" s="1428">
        <v>0</v>
      </c>
      <c r="E37" s="1429">
        <v>13269</v>
      </c>
      <c r="F37" s="1429">
        <v>0</v>
      </c>
      <c r="G37" s="1429">
        <v>0</v>
      </c>
      <c r="H37" s="1661">
        <v>0</v>
      </c>
      <c r="I37" s="1644" t="s">
        <v>185</v>
      </c>
      <c r="J37" s="1645">
        <f t="shared" si="4"/>
        <v>176676.65</v>
      </c>
      <c r="K37" s="1563"/>
      <c r="L37" s="1195"/>
      <c r="M37" s="1428">
        <f>'SUM 2020'!D37</f>
        <v>0</v>
      </c>
      <c r="N37" s="1204">
        <f t="shared" si="5"/>
        <v>0</v>
      </c>
      <c r="O37" s="1384">
        <v>2015</v>
      </c>
      <c r="P37" s="1429">
        <v>13269</v>
      </c>
      <c r="Q37" s="1198">
        <f t="shared" si="3"/>
        <v>0</v>
      </c>
      <c r="R37" s="1590"/>
      <c r="S37" s="1200"/>
      <c r="T37" s="921"/>
    </row>
    <row r="38" spans="1:24" ht="18.75">
      <c r="A38" s="1574" t="s">
        <v>271</v>
      </c>
      <c r="B38" s="1575"/>
      <c r="C38" s="1427" t="s">
        <v>138</v>
      </c>
      <c r="D38" s="1428">
        <v>0</v>
      </c>
      <c r="E38" s="1429">
        <v>1879</v>
      </c>
      <c r="F38" s="1429">
        <v>0</v>
      </c>
      <c r="G38" s="1429">
        <v>0</v>
      </c>
      <c r="H38" s="1661">
        <v>0</v>
      </c>
      <c r="I38" s="1644" t="s">
        <v>185</v>
      </c>
      <c r="J38" s="1645">
        <f t="shared" si="4"/>
        <v>30315.15</v>
      </c>
      <c r="K38" s="1563"/>
      <c r="L38" s="1195"/>
      <c r="M38" s="1428">
        <f>'SUM 2020'!D38</f>
        <v>0</v>
      </c>
      <c r="N38" s="1204">
        <f t="shared" si="5"/>
        <v>0</v>
      </c>
      <c r="O38" s="1384">
        <v>2012</v>
      </c>
      <c r="P38" s="1429">
        <v>1879</v>
      </c>
      <c r="Q38" s="1198">
        <f t="shared" si="3"/>
        <v>0</v>
      </c>
      <c r="R38" s="1590"/>
      <c r="S38" s="1200"/>
      <c r="T38" s="921"/>
    </row>
    <row r="39" spans="1:24" ht="18.75">
      <c r="A39" s="1574" t="s">
        <v>334</v>
      </c>
      <c r="B39" s="1575"/>
      <c r="C39" s="1427" t="s">
        <v>165</v>
      </c>
      <c r="D39" s="1430">
        <v>0</v>
      </c>
      <c r="E39" s="1431">
        <v>11429</v>
      </c>
      <c r="F39" s="1431">
        <v>10.6</v>
      </c>
      <c r="G39" s="1431">
        <v>0</v>
      </c>
      <c r="H39" s="1672">
        <v>0</v>
      </c>
      <c r="I39" s="1644" t="s">
        <v>185</v>
      </c>
      <c r="J39" s="1645">
        <f t="shared" si="4"/>
        <v>153032.65</v>
      </c>
      <c r="K39" s="1563"/>
      <c r="L39" s="1195"/>
      <c r="M39" s="1430">
        <f>'SUM 2020'!D39</f>
        <v>0</v>
      </c>
      <c r="N39" s="1204">
        <f t="shared" si="5"/>
        <v>0</v>
      </c>
      <c r="O39" s="1384">
        <v>2017</v>
      </c>
      <c r="P39" s="1431">
        <v>11429</v>
      </c>
      <c r="Q39" s="1527">
        <f>E39-P39</f>
        <v>0</v>
      </c>
      <c r="R39" s="1590">
        <f>12.85*Q39</f>
        <v>0</v>
      </c>
      <c r="S39" s="1200"/>
      <c r="T39" s="921"/>
    </row>
    <row r="40" spans="1:24" ht="18.75">
      <c r="A40" s="1574" t="s">
        <v>493</v>
      </c>
      <c r="B40" s="1575"/>
      <c r="C40" s="1427" t="s">
        <v>274</v>
      </c>
      <c r="D40" s="1673">
        <v>0</v>
      </c>
      <c r="E40" s="1429">
        <v>4363</v>
      </c>
      <c r="F40" s="1429">
        <v>0</v>
      </c>
      <c r="G40" s="1429">
        <v>0</v>
      </c>
      <c r="H40" s="1672">
        <v>0</v>
      </c>
      <c r="I40" s="1644" t="s">
        <v>185</v>
      </c>
      <c r="J40" s="1645">
        <f t="shared" si="4"/>
        <v>62234.55</v>
      </c>
      <c r="K40" s="1563"/>
      <c r="L40" s="1195"/>
      <c r="M40" s="865">
        <f>'SUM 2020'!D40</f>
        <v>0</v>
      </c>
      <c r="N40" s="1204">
        <f t="shared" si="5"/>
        <v>0</v>
      </c>
      <c r="O40" s="1292"/>
      <c r="P40" s="1429">
        <v>4363</v>
      </c>
      <c r="Q40" s="1198">
        <f t="shared" si="3"/>
        <v>0</v>
      </c>
      <c r="R40" s="1590"/>
      <c r="S40" s="1200"/>
      <c r="T40" s="921"/>
    </row>
    <row r="41" spans="1:24" ht="18.75">
      <c r="A41" s="1574" t="s">
        <v>494</v>
      </c>
      <c r="B41" s="1575"/>
      <c r="C41" s="1427" t="s">
        <v>217</v>
      </c>
      <c r="D41" s="1428">
        <v>8754648</v>
      </c>
      <c r="E41" s="1429">
        <v>12751</v>
      </c>
      <c r="F41" s="1429">
        <v>367.13</v>
      </c>
      <c r="G41" s="1429">
        <v>415.11</v>
      </c>
      <c r="H41" s="1672">
        <f t="shared" ref="H41" si="6">D41/G41</f>
        <v>21089.94724289947</v>
      </c>
      <c r="I41" s="1644" t="s">
        <v>185</v>
      </c>
      <c r="J41" s="1645">
        <f t="shared" si="4"/>
        <v>170020.35</v>
      </c>
      <c r="K41" s="1563"/>
      <c r="L41" s="1195"/>
      <c r="M41" s="865">
        <f>'SUM 2020'!D41</f>
        <v>10104902</v>
      </c>
      <c r="N41" s="1204">
        <f t="shared" si="5"/>
        <v>-1350254</v>
      </c>
      <c r="O41" s="1695">
        <f>N41/M41</f>
        <v>-0.13362366107063681</v>
      </c>
      <c r="P41" s="1429">
        <v>12751</v>
      </c>
      <c r="Q41" s="1198">
        <f t="shared" si="3"/>
        <v>0</v>
      </c>
      <c r="R41" s="1590"/>
      <c r="S41" s="1200"/>
      <c r="T41" s="921"/>
    </row>
    <row r="42" spans="1:24" ht="18.75">
      <c r="A42" s="1574">
        <v>51</v>
      </c>
      <c r="B42" s="1575"/>
      <c r="C42" s="1427" t="s">
        <v>242</v>
      </c>
      <c r="D42" s="1428">
        <v>0</v>
      </c>
      <c r="E42" s="1429">
        <v>4293</v>
      </c>
      <c r="F42" s="1429">
        <v>0</v>
      </c>
      <c r="G42" s="1429">
        <v>0</v>
      </c>
      <c r="H42" s="1643">
        <v>0</v>
      </c>
      <c r="I42" s="1644" t="s">
        <v>185</v>
      </c>
      <c r="J42" s="1645">
        <f t="shared" si="4"/>
        <v>61335.05</v>
      </c>
      <c r="K42" s="1563"/>
      <c r="L42" s="1195"/>
      <c r="M42" s="865">
        <f>'SUM 2020'!D42</f>
        <v>0</v>
      </c>
      <c r="N42" s="1204">
        <f t="shared" si="5"/>
        <v>0</v>
      </c>
      <c r="O42" s="1697"/>
      <c r="P42" s="1429">
        <v>4293</v>
      </c>
      <c r="Q42" s="1198">
        <f t="shared" si="3"/>
        <v>0</v>
      </c>
      <c r="R42" s="1590"/>
      <c r="S42" s="1200"/>
      <c r="T42" s="921"/>
    </row>
    <row r="43" spans="1:24" ht="18.75">
      <c r="A43" s="1574">
        <v>53</v>
      </c>
      <c r="B43" s="1575"/>
      <c r="C43" s="1427" t="s">
        <v>250</v>
      </c>
      <c r="D43" s="1428">
        <v>0</v>
      </c>
      <c r="E43" s="1429">
        <v>2308</v>
      </c>
      <c r="F43" s="1429">
        <v>0</v>
      </c>
      <c r="G43" s="1429">
        <v>0</v>
      </c>
      <c r="H43" s="1643">
        <v>0</v>
      </c>
      <c r="I43" s="1644" t="s">
        <v>185</v>
      </c>
      <c r="J43" s="1645">
        <f t="shared" si="4"/>
        <v>35827.800000000003</v>
      </c>
      <c r="K43" s="1563"/>
      <c r="L43" s="1195"/>
      <c r="M43" s="865">
        <f>'SUM 2020'!D43</f>
        <v>0</v>
      </c>
      <c r="N43" s="1204">
        <f t="shared" si="5"/>
        <v>0</v>
      </c>
      <c r="O43" s="1384">
        <v>2014</v>
      </c>
      <c r="P43" s="1429">
        <v>2308</v>
      </c>
      <c r="Q43" s="1198">
        <f>E43-P43</f>
        <v>0</v>
      </c>
      <c r="R43" s="1590"/>
      <c r="S43" s="1200"/>
      <c r="T43" s="921"/>
    </row>
    <row r="44" spans="1:24" ht="18.75">
      <c r="A44" s="1574" t="s">
        <v>346</v>
      </c>
      <c r="B44" s="1575"/>
      <c r="C44" s="1427" t="s">
        <v>275</v>
      </c>
      <c r="D44" s="1428">
        <v>0</v>
      </c>
      <c r="E44" s="1429">
        <v>3615</v>
      </c>
      <c r="F44" s="1429">
        <v>0</v>
      </c>
      <c r="G44" s="1429">
        <v>0</v>
      </c>
      <c r="H44" s="1672">
        <v>0</v>
      </c>
      <c r="I44" s="1644" t="s">
        <v>185</v>
      </c>
      <c r="J44" s="1645">
        <f t="shared" si="4"/>
        <v>52622.75</v>
      </c>
      <c r="K44" s="1563"/>
      <c r="L44" s="1195"/>
      <c r="M44" s="865">
        <f>'SUM 2020'!D44</f>
        <v>0</v>
      </c>
      <c r="N44" s="1204">
        <f t="shared" si="5"/>
        <v>0</v>
      </c>
      <c r="O44" s="1384">
        <v>2017</v>
      </c>
      <c r="P44" s="1429">
        <v>3615</v>
      </c>
      <c r="Q44" s="1198">
        <f t="shared" ref="Q44:Q45" si="7">E44-P44</f>
        <v>0</v>
      </c>
      <c r="R44" s="1590"/>
      <c r="S44" s="1200"/>
      <c r="T44" s="921"/>
    </row>
    <row r="45" spans="1:24" ht="18.75">
      <c r="A45" s="1574">
        <v>56</v>
      </c>
      <c r="B45" s="1584"/>
      <c r="C45" s="1585" t="s">
        <v>309</v>
      </c>
      <c r="D45" s="1674">
        <v>0</v>
      </c>
      <c r="E45" s="1599">
        <v>279</v>
      </c>
      <c r="F45" s="1599">
        <v>0</v>
      </c>
      <c r="G45" s="1599">
        <v>0</v>
      </c>
      <c r="H45" s="1672">
        <v>0</v>
      </c>
      <c r="I45" s="1675" t="s">
        <v>185</v>
      </c>
      <c r="J45" s="1645">
        <f t="shared" si="4"/>
        <v>9755.15</v>
      </c>
      <c r="K45" s="1564"/>
      <c r="L45" s="1232"/>
      <c r="M45" s="1275">
        <f>'SUM 2020'!D45</f>
        <v>0</v>
      </c>
      <c r="N45" s="1204">
        <f t="shared" si="5"/>
        <v>0</v>
      </c>
      <c r="O45" s="1384">
        <v>2013</v>
      </c>
      <c r="P45" s="1599">
        <v>279</v>
      </c>
      <c r="Q45" s="1198">
        <f t="shared" si="7"/>
        <v>0</v>
      </c>
      <c r="R45" s="1590"/>
      <c r="S45" s="1200"/>
      <c r="T45" s="921"/>
    </row>
    <row r="46" spans="1:24" ht="19.5" thickBot="1">
      <c r="A46" s="1574" t="s">
        <v>490</v>
      </c>
      <c r="B46" s="1575"/>
      <c r="C46" s="1427" t="s">
        <v>310</v>
      </c>
      <c r="D46" s="1428">
        <v>2102030</v>
      </c>
      <c r="E46" s="1429">
        <v>3425</v>
      </c>
      <c r="F46" s="1429">
        <v>19.899999999999999</v>
      </c>
      <c r="G46" s="1595">
        <v>134.69999999999999</v>
      </c>
      <c r="H46" s="1676">
        <f>D46/G46</f>
        <v>15605.270972531553</v>
      </c>
      <c r="I46" s="1664" t="s">
        <v>185</v>
      </c>
      <c r="J46" s="1650">
        <f t="shared" si="4"/>
        <v>50181.25</v>
      </c>
      <c r="K46" s="1563"/>
      <c r="L46" s="1195"/>
      <c r="M46" s="865">
        <f>'SUM 2020'!D46</f>
        <v>2954048</v>
      </c>
      <c r="N46" s="1204">
        <f t="shared" si="5"/>
        <v>-852018</v>
      </c>
      <c r="O46" s="1695">
        <f t="shared" ref="O46" si="8">N46/M46</f>
        <v>-0.28842388478453973</v>
      </c>
      <c r="P46" s="1429">
        <v>3425</v>
      </c>
      <c r="Q46" s="1198">
        <f t="shared" si="3"/>
        <v>0</v>
      </c>
      <c r="R46" s="1590"/>
      <c r="S46" s="1200"/>
      <c r="T46" s="921"/>
    </row>
    <row r="47" spans="1:24" ht="19.5" thickTop="1">
      <c r="A47" s="1576"/>
      <c r="B47" s="1577"/>
      <c r="C47" s="1578" t="s">
        <v>282</v>
      </c>
      <c r="D47" s="1677">
        <f>SUM(D34:D46)</f>
        <v>10856678</v>
      </c>
      <c r="E47" s="1600">
        <f>ROUND(SUM(E34:E46),2)</f>
        <v>97138</v>
      </c>
      <c r="F47" s="1600">
        <f>SUM(F34:F46)</f>
        <v>397.63</v>
      </c>
      <c r="G47" s="1597">
        <f>SUM(G34:G46)</f>
        <v>549.80999999999995</v>
      </c>
      <c r="H47" s="1658"/>
      <c r="I47" s="1652" t="s">
        <v>185</v>
      </c>
      <c r="J47" s="1653">
        <f>SUM(J34:J46)</f>
        <v>1328433.3</v>
      </c>
      <c r="K47" s="1562"/>
      <c r="L47" s="1195"/>
      <c r="M47" s="899">
        <f>'SUM 2020'!D47</f>
        <v>13058950</v>
      </c>
      <c r="N47" s="1209">
        <f t="shared" si="5"/>
        <v>-2202272</v>
      </c>
      <c r="O47" s="1386">
        <f>N47/M47</f>
        <v>-0.16864081721731072</v>
      </c>
      <c r="P47" s="1600">
        <f>ROUND(SUM(P34:P46),2)</f>
        <v>97138</v>
      </c>
      <c r="Q47" s="1198"/>
      <c r="R47" s="1590"/>
      <c r="S47" s="1200"/>
      <c r="T47" s="927"/>
      <c r="U47" s="860"/>
      <c r="V47" s="793"/>
      <c r="W47" s="793"/>
      <c r="X47" s="860"/>
    </row>
    <row r="48" spans="1:24" ht="18.75">
      <c r="A48" s="1571" t="s">
        <v>86</v>
      </c>
      <c r="B48" s="1572"/>
      <c r="C48" s="1573"/>
      <c r="D48" s="1678"/>
      <c r="E48" s="1601"/>
      <c r="F48" s="1601"/>
      <c r="G48" s="1598"/>
      <c r="H48" s="1669"/>
      <c r="I48" s="1670"/>
      <c r="J48" s="1671"/>
      <c r="K48" s="1563"/>
      <c r="L48" s="1195"/>
      <c r="M48" s="1201"/>
      <c r="N48" s="1204"/>
      <c r="O48" s="1272"/>
      <c r="P48" s="1601"/>
      <c r="Q48" s="1198"/>
      <c r="R48" s="1590"/>
      <c r="S48" s="1631">
        <f>SUM(R3:R49)</f>
        <v>-1.2849999999813007</v>
      </c>
      <c r="U48" s="793"/>
      <c r="V48" s="793"/>
      <c r="W48" s="860"/>
      <c r="X48" s="793"/>
    </row>
    <row r="49" spans="1:24" ht="19.5" thickBot="1">
      <c r="A49" s="1586" t="s">
        <v>540</v>
      </c>
      <c r="B49" s="1587"/>
      <c r="C49" s="1588" t="s">
        <v>139</v>
      </c>
      <c r="D49" s="1647">
        <v>2063647</v>
      </c>
      <c r="E49" s="1595">
        <v>5867</v>
      </c>
      <c r="F49" s="1595">
        <v>75.12</v>
      </c>
      <c r="G49" s="1595">
        <v>96.71</v>
      </c>
      <c r="H49" s="1663">
        <f>D49/G49</f>
        <v>21338.506876227901</v>
      </c>
      <c r="I49" s="1664" t="s">
        <v>185</v>
      </c>
      <c r="J49" s="1650">
        <f>ROUND(6170+12.85*E49,2)</f>
        <v>81560.95</v>
      </c>
      <c r="K49" s="1563"/>
      <c r="L49" s="1195"/>
      <c r="M49" s="1261">
        <f>'SUM 2020'!D49</f>
        <v>1972073</v>
      </c>
      <c r="N49" s="1206">
        <f>D49-M49</f>
        <v>91574</v>
      </c>
      <c r="O49" s="1694">
        <f>N49/M49</f>
        <v>4.6435400717924742E-2</v>
      </c>
      <c r="P49" s="1595">
        <v>5867</v>
      </c>
      <c r="Q49" s="1592">
        <f t="shared" si="3"/>
        <v>0</v>
      </c>
      <c r="R49" s="1590">
        <f>12.85*Q49</f>
        <v>0</v>
      </c>
      <c r="S49" s="921" t="s">
        <v>359</v>
      </c>
      <c r="T49" s="921"/>
      <c r="U49" s="793"/>
      <c r="V49" s="860"/>
      <c r="W49" s="793"/>
      <c r="X49" s="793"/>
    </row>
    <row r="50" spans="1:24" ht="20.25" thickTop="1" thickBot="1">
      <c r="A50" s="1942" t="s">
        <v>44</v>
      </c>
      <c r="B50" s="1943"/>
      <c r="C50" s="1944"/>
      <c r="D50" s="975">
        <f>SUM(D4,D6,D11,D15,D19,D23,D28,D32,D47,D49)</f>
        <v>17455627</v>
      </c>
      <c r="E50" s="911">
        <f>SUM(E6,E9,E14,E19,E23,E28,E32,E47,E49)</f>
        <v>163686.9</v>
      </c>
      <c r="F50" s="911">
        <f>SUM(F4,F6,F11,F15,F19,F23,F28,F32,F47,F49)</f>
        <v>1052.8600000000001</v>
      </c>
      <c r="G50" s="911">
        <f>SUM(G4,G6,G11,G15,G19,G23,G28,G32,G47,G49)</f>
        <v>1063.4199999999998</v>
      </c>
      <c r="H50" s="976">
        <f>D50/G50</f>
        <v>16414.612288653592</v>
      </c>
      <c r="I50" s="1554" t="s">
        <v>185</v>
      </c>
      <c r="J50" s="1312">
        <f>SUM(J6,J9,J14,J19,J23,J28,J32,J47,J49)</f>
        <v>2263796.6900000004</v>
      </c>
      <c r="K50" s="1563"/>
      <c r="L50" s="1232"/>
      <c r="M50" s="975">
        <f>'SUM 2020'!D50</f>
        <v>19639076</v>
      </c>
      <c r="N50" s="1211">
        <f>D50-M50</f>
        <v>-2183449</v>
      </c>
      <c r="O50" s="1696">
        <f>N50/M50</f>
        <v>-0.11117880494988665</v>
      </c>
      <c r="P50" s="911">
        <f>SUM(P6,P9,P14,P19,P23,P28,P32,P47,P49)</f>
        <v>163687.01</v>
      </c>
      <c r="Q50" s="1592">
        <f t="shared" si="3"/>
        <v>-0.11000000001513399</v>
      </c>
      <c r="R50" s="1590"/>
      <c r="S50" s="1217"/>
      <c r="T50" s="793"/>
      <c r="U50" s="793"/>
      <c r="V50" s="793"/>
      <c r="W50" s="793"/>
      <c r="X50" s="793"/>
    </row>
    <row r="51" spans="1:24" ht="18.75">
      <c r="A51" s="891"/>
      <c r="B51" s="891"/>
      <c r="C51" s="891"/>
      <c r="D51" s="1213"/>
      <c r="E51" s="1212"/>
      <c r="F51" s="1212"/>
      <c r="G51" s="1212"/>
      <c r="H51" s="1213"/>
      <c r="I51" s="1555"/>
      <c r="J51" s="1234"/>
      <c r="K51" s="1214"/>
      <c r="L51" s="1232"/>
      <c r="M51" s="1213"/>
      <c r="N51" s="1217"/>
      <c r="O51" s="1235"/>
      <c r="P51" s="1212"/>
      <c r="Q51" s="1198"/>
      <c r="R51" s="1217"/>
      <c r="S51" s="1217"/>
      <c r="T51" s="793"/>
      <c r="U51" s="793"/>
      <c r="V51" s="793"/>
      <c r="W51" s="793"/>
      <c r="X51" s="793"/>
    </row>
    <row r="52" spans="1:24" ht="18.75">
      <c r="A52" s="891"/>
      <c r="D52" s="1213"/>
      <c r="E52" s="1212"/>
      <c r="F52" s="1212"/>
      <c r="G52" s="1212"/>
      <c r="H52" s="1213"/>
      <c r="I52" s="1555"/>
      <c r="J52" s="1234"/>
      <c r="K52" s="1214"/>
      <c r="L52" s="1232"/>
      <c r="M52" s="1213"/>
      <c r="N52" s="1200"/>
      <c r="O52" s="1197"/>
      <c r="P52" s="1212"/>
      <c r="Q52" s="1198"/>
      <c r="R52" s="1217"/>
      <c r="S52" s="1217"/>
      <c r="T52" s="793"/>
      <c r="U52" s="793"/>
      <c r="V52" s="793"/>
      <c r="W52" s="793"/>
      <c r="X52" s="793"/>
    </row>
    <row r="53" spans="1:24" ht="18.75">
      <c r="A53" s="891"/>
      <c r="B53" s="891"/>
      <c r="C53" s="891"/>
      <c r="D53" s="1213"/>
      <c r="E53" s="1212"/>
      <c r="F53" s="1236" t="s">
        <v>318</v>
      </c>
      <c r="G53" s="1702">
        <f>G50-'SUM 2020'!G50</f>
        <v>-145.96000000000026</v>
      </c>
      <c r="H53" s="1213"/>
      <c r="I53" s="1555"/>
      <c r="J53" s="1234">
        <f>ROUNDUP((26*6170)+(E50*12.85),1)</f>
        <v>2263796.7000000002</v>
      </c>
      <c r="K53" s="1214"/>
      <c r="L53" s="1232"/>
      <c r="M53" s="1213"/>
      <c r="N53" s="1197"/>
      <c r="O53" s="1197"/>
      <c r="P53" s="1212">
        <f>'SUM 2020'!G50-G50</f>
        <v>145.96000000000026</v>
      </c>
      <c r="Q53" s="1237">
        <f>P53/'SUM 2020'!G50</f>
        <v>0.12068994029998863</v>
      </c>
      <c r="R53" s="1217"/>
      <c r="S53" s="1217"/>
      <c r="T53" s="793"/>
      <c r="U53" s="793"/>
      <c r="V53" s="793"/>
      <c r="W53" s="793"/>
      <c r="X53" s="793"/>
    </row>
    <row r="54" spans="1:24" ht="18.75">
      <c r="A54" s="891"/>
      <c r="B54" s="891"/>
      <c r="C54" s="891"/>
      <c r="D54" s="1213"/>
      <c r="E54" s="1212"/>
      <c r="F54" s="1236" t="s">
        <v>319</v>
      </c>
      <c r="G54" s="1703">
        <f>G53/'SUM 2020'!G50</f>
        <v>-0.12068994029998863</v>
      </c>
      <c r="H54" s="1213"/>
      <c r="I54" s="1555"/>
      <c r="J54" s="1234">
        <f>J53-J50</f>
        <v>9.9999997764825821E-3</v>
      </c>
      <c r="K54" s="1239" t="s">
        <v>283</v>
      </c>
      <c r="L54" s="1232"/>
      <c r="M54" s="1213"/>
      <c r="N54" s="1217"/>
      <c r="O54" s="1197"/>
      <c r="P54" s="1212"/>
      <c r="Q54" s="1198"/>
      <c r="R54" s="1217"/>
      <c r="S54" s="1217"/>
      <c r="T54" s="793"/>
      <c r="U54" s="793"/>
      <c r="V54" s="793"/>
      <c r="W54" s="793"/>
      <c r="X54" s="793"/>
    </row>
    <row r="55" spans="1:24" ht="20.25" customHeight="1">
      <c r="A55" s="1705" t="s">
        <v>555</v>
      </c>
      <c r="B55" s="1687"/>
      <c r="V55" s="793"/>
      <c r="W55" s="793"/>
    </row>
    <row r="56" spans="1:24" ht="18.75">
      <c r="A56" s="1686"/>
      <c r="B56" s="1687"/>
      <c r="D56" s="793"/>
      <c r="E56" s="793"/>
      <c r="F56" s="927"/>
      <c r="G56" s="860"/>
      <c r="H56" s="1623" t="s">
        <v>593</v>
      </c>
      <c r="I56" s="1811"/>
      <c r="J56" s="1623"/>
      <c r="K56" s="1624"/>
      <c r="L56" s="1624"/>
      <c r="P56" s="1704" t="s">
        <v>566</v>
      </c>
      <c r="U56" s="793"/>
    </row>
    <row r="57" spans="1:24" ht="18.75">
      <c r="A57" s="1528"/>
      <c r="B57" s="925" t="s">
        <v>562</v>
      </c>
      <c r="C57" s="793"/>
      <c r="D57" s="1390"/>
      <c r="E57" s="1390"/>
      <c r="F57" s="793"/>
      <c r="G57" s="860">
        <v>26</v>
      </c>
      <c r="H57" s="793" t="s">
        <v>563</v>
      </c>
      <c r="I57" s="921"/>
      <c r="J57" s="793"/>
      <c r="O57" s="793"/>
      <c r="P57" s="793" t="s">
        <v>516</v>
      </c>
      <c r="Q57" s="987" t="s">
        <v>514</v>
      </c>
      <c r="R57" s="793" t="s">
        <v>519</v>
      </c>
      <c r="S57" s="793" t="s">
        <v>518</v>
      </c>
      <c r="T57" s="793" t="s">
        <v>521</v>
      </c>
      <c r="U57" s="793" t="s">
        <v>558</v>
      </c>
    </row>
    <row r="58" spans="1:24" ht="18.75">
      <c r="A58" s="1383"/>
      <c r="B58" s="1389" t="s">
        <v>432</v>
      </c>
      <c r="C58" s="1390"/>
      <c r="D58" s="793"/>
      <c r="E58" s="793"/>
      <c r="F58" s="1391"/>
      <c r="G58" s="1537">
        <v>1</v>
      </c>
      <c r="H58" s="1533" t="s">
        <v>536</v>
      </c>
      <c r="I58" s="1621"/>
      <c r="J58" s="1533"/>
      <c r="K58" s="1622"/>
      <c r="L58" s="1622"/>
      <c r="O58" s="793"/>
      <c r="P58" s="793" t="s">
        <v>515</v>
      </c>
      <c r="Q58" s="793" t="s">
        <v>515</v>
      </c>
      <c r="R58" s="1625" t="s">
        <v>520</v>
      </c>
      <c r="S58" s="793" t="s">
        <v>556</v>
      </c>
      <c r="T58" s="793" t="s">
        <v>522</v>
      </c>
    </row>
    <row r="59" spans="1:24" ht="18.75">
      <c r="A59" s="1006"/>
      <c r="B59" s="925" t="s">
        <v>427</v>
      </c>
      <c r="C59" s="793"/>
      <c r="D59" s="793"/>
      <c r="E59" s="793"/>
      <c r="F59" s="793"/>
      <c r="G59" s="1538">
        <v>26</v>
      </c>
      <c r="H59" s="793" t="s">
        <v>434</v>
      </c>
      <c r="I59" s="921"/>
      <c r="J59" s="793"/>
      <c r="O59" s="793">
        <v>2011</v>
      </c>
      <c r="P59" s="793" t="s">
        <v>505</v>
      </c>
      <c r="Q59" s="793" t="s">
        <v>525</v>
      </c>
      <c r="R59" s="793"/>
    </row>
    <row r="60" spans="1:24" ht="18.75">
      <c r="A60" s="1008"/>
      <c r="B60" s="925" t="s">
        <v>341</v>
      </c>
      <c r="C60" s="793"/>
      <c r="D60" s="793"/>
      <c r="E60" s="793"/>
      <c r="F60" s="1391"/>
      <c r="G60" s="1537">
        <v>1</v>
      </c>
      <c r="H60" s="793" t="s">
        <v>564</v>
      </c>
      <c r="I60" s="927"/>
      <c r="J60" s="860"/>
      <c r="O60" s="793">
        <v>2012</v>
      </c>
      <c r="P60" s="793" t="s">
        <v>504</v>
      </c>
      <c r="Q60" s="793" t="s">
        <v>524</v>
      </c>
      <c r="R60" s="793"/>
    </row>
    <row r="61" spans="1:24" ht="18.75">
      <c r="A61" s="1691"/>
      <c r="B61" s="925" t="s">
        <v>483</v>
      </c>
      <c r="C61" s="793"/>
      <c r="D61" s="793"/>
      <c r="E61" s="793"/>
      <c r="F61" s="1391"/>
      <c r="G61" s="1537">
        <v>17</v>
      </c>
      <c r="H61" s="793" t="s">
        <v>436</v>
      </c>
      <c r="I61" s="921"/>
      <c r="J61" s="793"/>
      <c r="O61" s="793">
        <v>2013</v>
      </c>
      <c r="P61" s="793" t="s">
        <v>501</v>
      </c>
      <c r="Q61" s="793" t="s">
        <v>526</v>
      </c>
      <c r="R61" s="793"/>
    </row>
    <row r="62" spans="1:24" ht="18.75">
      <c r="A62" s="1706"/>
      <c r="B62" s="925" t="s">
        <v>482</v>
      </c>
      <c r="C62" s="793"/>
      <c r="D62" s="793"/>
      <c r="E62" s="793"/>
      <c r="F62" s="1391"/>
      <c r="G62" s="1699">
        <v>0</v>
      </c>
      <c r="H62" s="1533" t="s">
        <v>481</v>
      </c>
      <c r="I62" s="921"/>
      <c r="J62" s="793"/>
      <c r="O62" s="793">
        <v>2014</v>
      </c>
      <c r="P62" s="793" t="s">
        <v>502</v>
      </c>
      <c r="Q62" s="793" t="s">
        <v>513</v>
      </c>
      <c r="R62" s="793" t="s">
        <v>512</v>
      </c>
      <c r="U62" s="793" t="s">
        <v>561</v>
      </c>
    </row>
    <row r="63" spans="1:24" ht="18.75">
      <c r="A63" s="1291"/>
      <c r="B63" s="925" t="s">
        <v>486</v>
      </c>
      <c r="C63" s="860"/>
      <c r="D63" s="860"/>
      <c r="E63" s="860"/>
      <c r="F63" s="1391"/>
      <c r="G63" s="1700">
        <v>0</v>
      </c>
      <c r="H63" s="793" t="s">
        <v>475</v>
      </c>
      <c r="I63" s="921"/>
      <c r="J63" s="793"/>
      <c r="O63" s="793">
        <v>2015</v>
      </c>
      <c r="P63" s="793" t="s">
        <v>509</v>
      </c>
      <c r="Q63" s="793"/>
      <c r="R63" s="793"/>
    </row>
    <row r="64" spans="1:24" ht="18.75">
      <c r="A64" s="1611"/>
      <c r="B64" s="925" t="s">
        <v>485</v>
      </c>
      <c r="C64" s="1533"/>
      <c r="D64" s="1533"/>
      <c r="E64" s="1533"/>
      <c r="F64" s="1391"/>
      <c r="G64" s="1537">
        <v>1</v>
      </c>
      <c r="H64" s="793" t="s">
        <v>357</v>
      </c>
      <c r="I64" s="921"/>
      <c r="J64" s="793"/>
      <c r="O64" s="793">
        <v>2016</v>
      </c>
      <c r="P64" s="793" t="s">
        <v>510</v>
      </c>
      <c r="Q64" s="793"/>
    </row>
    <row r="65" spans="1:21" ht="18.75">
      <c r="A65" s="1534"/>
      <c r="B65" s="1535" t="s">
        <v>535</v>
      </c>
      <c r="C65" s="793"/>
      <c r="D65" s="793"/>
      <c r="E65" s="793"/>
      <c r="F65" s="1107"/>
      <c r="G65" s="1540">
        <v>7</v>
      </c>
      <c r="H65" s="793" t="s">
        <v>471</v>
      </c>
      <c r="I65" s="927"/>
      <c r="J65" s="793"/>
      <c r="O65" s="793">
        <v>2017</v>
      </c>
      <c r="P65" s="793" t="s">
        <v>503</v>
      </c>
      <c r="Q65" s="793"/>
      <c r="R65" s="793"/>
    </row>
    <row r="66" spans="1:21" ht="18.75">
      <c r="A66" s="1536" t="s">
        <v>595</v>
      </c>
      <c r="B66" s="793"/>
      <c r="C66" s="793"/>
      <c r="D66" s="793"/>
      <c r="E66" s="793"/>
      <c r="F66" s="1108"/>
      <c r="G66" s="1538">
        <v>3</v>
      </c>
      <c r="H66" s="793" t="s">
        <v>354</v>
      </c>
      <c r="I66" s="921"/>
      <c r="J66" s="793"/>
      <c r="O66" s="793">
        <v>2018</v>
      </c>
      <c r="P66" s="793"/>
      <c r="Q66" s="793"/>
      <c r="T66" s="793" t="s">
        <v>523</v>
      </c>
      <c r="U66" s="793" t="s">
        <v>559</v>
      </c>
    </row>
    <row r="67" spans="1:21" ht="18.75">
      <c r="C67" s="793"/>
      <c r="D67" s="793"/>
      <c r="E67" s="793"/>
      <c r="F67" s="793"/>
      <c r="G67" s="1538">
        <v>4</v>
      </c>
      <c r="H67" s="793" t="s">
        <v>353</v>
      </c>
      <c r="I67" s="921"/>
      <c r="J67" s="793"/>
      <c r="O67" s="793">
        <v>2019</v>
      </c>
      <c r="P67" s="793" t="s">
        <v>507</v>
      </c>
      <c r="Q67" s="793" t="s">
        <v>512</v>
      </c>
      <c r="R67" s="793"/>
      <c r="T67" s="793"/>
      <c r="U67" s="793" t="s">
        <v>560</v>
      </c>
    </row>
    <row r="68" spans="1:21" ht="18.75">
      <c r="C68" s="793"/>
      <c r="D68" s="793"/>
      <c r="E68" s="793"/>
      <c r="F68" s="1107"/>
      <c r="G68" s="1699">
        <v>0</v>
      </c>
      <c r="H68" s="793" t="s">
        <v>437</v>
      </c>
      <c r="I68" s="921"/>
      <c r="J68" s="793"/>
      <c r="O68" s="793">
        <v>2020</v>
      </c>
      <c r="P68" s="793" t="s">
        <v>511</v>
      </c>
      <c r="Q68" s="793"/>
      <c r="T68" s="793"/>
      <c r="U68" s="793"/>
    </row>
    <row r="69" spans="1:21" ht="27" customHeight="1">
      <c r="G69" s="927"/>
      <c r="H69" s="860"/>
      <c r="I69"/>
      <c r="K69" s="793"/>
      <c r="O69" s="793">
        <v>2021</v>
      </c>
      <c r="P69" s="793" t="s">
        <v>565</v>
      </c>
      <c r="Q69" s="793"/>
      <c r="S69" s="1688" t="s">
        <v>594</v>
      </c>
      <c r="T69" s="793" t="s">
        <v>546</v>
      </c>
      <c r="U69" s="793" t="s">
        <v>557</v>
      </c>
    </row>
    <row r="70" spans="1:21" ht="18.75">
      <c r="O70" s="793">
        <v>2022</v>
      </c>
      <c r="P70" s="793"/>
      <c r="Q70" s="793"/>
      <c r="R70" s="793" t="s">
        <v>545</v>
      </c>
    </row>
  </sheetData>
  <mergeCells count="16">
    <mergeCell ref="P1:P2"/>
    <mergeCell ref="Q1:Q2"/>
    <mergeCell ref="R1:R2"/>
    <mergeCell ref="A50:C50"/>
    <mergeCell ref="H1:H2"/>
    <mergeCell ref="I1:J2"/>
    <mergeCell ref="K1:K2"/>
    <mergeCell ref="M1:M2"/>
    <mergeCell ref="N1:N2"/>
    <mergeCell ref="O1:O2"/>
    <mergeCell ref="A1:B2"/>
    <mergeCell ref="C1:C2"/>
    <mergeCell ref="D1:D2"/>
    <mergeCell ref="E1:E2"/>
    <mergeCell ref="F1:F2"/>
    <mergeCell ref="G1:G2"/>
  </mergeCells>
  <pageMargins left="0.7" right="0.7" top="1.25" bottom="0.75" header="0.5" footer="0.3"/>
  <pageSetup scale="70" orientation="portrait" horizontalDpi="90" verticalDpi="90" r:id="rId1"/>
  <headerFooter scaleWithDoc="0">
    <oddHeader xml:space="preserve">&amp;C&amp;"Times New Roman,Bold"&amp;14Surface Mining and Reclamtion Division
Summary of 2021
 Annual Coal Production and Acres Bonded, Disturbed, and Mined
</oddHeader>
    <oddFooter>&amp;R&amp;"Times New Roman,Regular"&amp;9&amp;D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09270-5263-4E9D-A06A-F1406FCEFA46}">
  <dimension ref="A1:AB57"/>
  <sheetViews>
    <sheetView zoomScale="75" zoomScaleNormal="75" workbookViewId="0">
      <pane ySplit="1" topLeftCell="A2" activePane="bottomLeft" state="frozen"/>
      <selection activeCell="D9" sqref="D9"/>
      <selection pane="bottomLeft" activeCell="D9" sqref="D9"/>
    </sheetView>
  </sheetViews>
  <sheetFormatPr defaultRowHeight="12.75"/>
  <cols>
    <col min="1" max="1" width="9.7109375" customWidth="1"/>
    <col min="2" max="2" width="3.85546875" customWidth="1"/>
    <col min="3" max="3" width="29.140625" customWidth="1"/>
    <col min="4" max="4" width="15.140625" customWidth="1"/>
    <col min="5" max="5" width="13.85546875" customWidth="1"/>
    <col min="6" max="7" width="11.7109375" customWidth="1"/>
    <col min="8" max="8" width="14.140625" customWidth="1"/>
    <col min="9" max="9" width="5" style="1557" customWidth="1"/>
    <col min="10" max="10" width="15.5703125" customWidth="1"/>
    <col min="12" max="12" width="13.42578125" customWidth="1"/>
    <col min="13" max="13" width="15.85546875" customWidth="1"/>
    <col min="14" max="14" width="13.42578125" customWidth="1"/>
    <col min="15" max="15" width="15.85546875" customWidth="1"/>
    <col min="16" max="17" width="14.7109375" customWidth="1"/>
    <col min="18" max="18" width="16.85546875" customWidth="1"/>
    <col min="19" max="19" width="15.28515625" customWidth="1"/>
    <col min="21" max="21" width="9.42578125" customWidth="1"/>
    <col min="22" max="22" width="13.5703125" customWidth="1"/>
    <col min="23" max="23" width="10.28515625" customWidth="1"/>
    <col min="24" max="24" width="12.5703125" customWidth="1"/>
    <col min="25" max="25" width="11.7109375" customWidth="1"/>
    <col min="26" max="26" width="11.28515625" customWidth="1"/>
  </cols>
  <sheetData>
    <row r="1" spans="1:24" ht="68.25" customHeight="1">
      <c r="A1" s="1959" t="s">
        <v>6</v>
      </c>
      <c r="B1" s="1960"/>
      <c r="C1" s="1963" t="s">
        <v>162</v>
      </c>
      <c r="D1" s="1965" t="s">
        <v>478</v>
      </c>
      <c r="E1" s="1967" t="s">
        <v>289</v>
      </c>
      <c r="F1" s="1967" t="s">
        <v>187</v>
      </c>
      <c r="G1" s="1967" t="s">
        <v>288</v>
      </c>
      <c r="H1" s="1945" t="s">
        <v>238</v>
      </c>
      <c r="I1" s="1947" t="s">
        <v>350</v>
      </c>
      <c r="J1" s="1948"/>
      <c r="K1" s="1951" t="s">
        <v>184</v>
      </c>
      <c r="L1" s="1380" t="s">
        <v>421</v>
      </c>
      <c r="M1" s="1953" t="s">
        <v>447</v>
      </c>
      <c r="N1" s="1955" t="s">
        <v>208</v>
      </c>
      <c r="O1" s="1971" t="s">
        <v>470</v>
      </c>
      <c r="P1" s="1936" t="s">
        <v>479</v>
      </c>
      <c r="Q1" s="1938" t="s">
        <v>480</v>
      </c>
      <c r="R1" s="1969" t="s">
        <v>476</v>
      </c>
      <c r="S1" s="1381" t="s">
        <v>385</v>
      </c>
      <c r="T1" s="1381"/>
      <c r="U1" s="1382"/>
      <c r="V1" s="1382"/>
      <c r="W1" s="1382"/>
      <c r="X1" s="1382"/>
    </row>
    <row r="2" spans="1:24" ht="31.5" customHeight="1" thickBot="1">
      <c r="A2" s="1961"/>
      <c r="B2" s="1962"/>
      <c r="C2" s="1964"/>
      <c r="D2" s="1966"/>
      <c r="E2" s="1968"/>
      <c r="F2" s="1968"/>
      <c r="G2" s="1968"/>
      <c r="H2" s="1946"/>
      <c r="I2" s="1949"/>
      <c r="J2" s="1950"/>
      <c r="K2" s="1952"/>
      <c r="L2" s="1380"/>
      <c r="M2" s="1954"/>
      <c r="N2" s="1956"/>
      <c r="O2" s="1972"/>
      <c r="P2" s="1937"/>
      <c r="Q2" s="1939"/>
      <c r="R2" s="1970"/>
      <c r="S2" s="1381" t="s">
        <v>384</v>
      </c>
      <c r="T2" s="1381"/>
      <c r="U2" s="1382"/>
      <c r="V2" s="1382"/>
      <c r="W2" s="1382"/>
      <c r="X2" s="1382"/>
    </row>
    <row r="3" spans="1:24" ht="18.75" hidden="1" customHeight="1">
      <c r="A3" s="794" t="s">
        <v>412</v>
      </c>
      <c r="B3" s="795"/>
      <c r="C3" s="796"/>
      <c r="D3" s="1240"/>
      <c r="E3" s="1241"/>
      <c r="F3" s="1241"/>
      <c r="G3" s="1241"/>
      <c r="H3" s="1242"/>
      <c r="I3" s="1544"/>
      <c r="J3" s="1301"/>
      <c r="K3" s="1560"/>
      <c r="L3" s="1215"/>
      <c r="M3" s="1245">
        <f>'SUM 2015'!D3</f>
        <v>0</v>
      </c>
      <c r="N3" s="1216"/>
      <c r="O3" s="1531"/>
      <c r="P3" s="1246"/>
      <c r="Q3" s="1198"/>
      <c r="R3" s="1217"/>
      <c r="S3" s="1200"/>
      <c r="T3" s="921"/>
      <c r="U3" s="793"/>
      <c r="V3" s="793"/>
      <c r="W3" s="793"/>
      <c r="X3" s="793"/>
    </row>
    <row r="4" spans="1:24" ht="18.75" hidden="1" customHeight="1">
      <c r="A4" s="805" t="s">
        <v>410</v>
      </c>
      <c r="B4" s="806"/>
      <c r="C4" s="931" t="s">
        <v>125</v>
      </c>
      <c r="D4" s="854">
        <v>0</v>
      </c>
      <c r="E4" s="855">
        <v>0</v>
      </c>
      <c r="F4" s="855">
        <v>0</v>
      </c>
      <c r="G4" s="855">
        <v>0</v>
      </c>
      <c r="H4" s="964">
        <v>0</v>
      </c>
      <c r="I4" s="1545" t="s">
        <v>185</v>
      </c>
      <c r="J4" s="1302">
        <v>0</v>
      </c>
      <c r="K4" s="1560"/>
      <c r="L4" s="1195"/>
      <c r="M4" s="859">
        <f>'SUM 2015'!D4</f>
        <v>0</v>
      </c>
      <c r="N4" s="1196">
        <f>D4-M4</f>
        <v>0</v>
      </c>
      <c r="O4" s="1530">
        <v>2018</v>
      </c>
      <c r="P4" s="861">
        <v>0</v>
      </c>
      <c r="Q4" s="1198">
        <f>E4-P4</f>
        <v>0</v>
      </c>
      <c r="R4" s="793"/>
      <c r="S4" s="1200"/>
      <c r="T4" s="1528"/>
      <c r="U4" s="925" t="s">
        <v>469</v>
      </c>
      <c r="V4" s="793"/>
      <c r="W4" s="793"/>
      <c r="X4" s="793"/>
    </row>
    <row r="5" spans="1:24" ht="18.75">
      <c r="A5" s="1565" t="s">
        <v>246</v>
      </c>
      <c r="B5" s="1566"/>
      <c r="C5" s="1567"/>
      <c r="D5" s="1248"/>
      <c r="E5" s="1249"/>
      <c r="F5" s="1249"/>
      <c r="G5" s="1249"/>
      <c r="H5" s="965"/>
      <c r="I5" s="1546"/>
      <c r="J5" s="1303"/>
      <c r="K5" s="1560"/>
      <c r="L5" s="1195"/>
      <c r="M5" s="1248"/>
      <c r="N5" s="1219"/>
      <c r="O5" s="1620">
        <v>2020</v>
      </c>
      <c r="P5" s="1250"/>
      <c r="Q5" s="1198"/>
      <c r="R5" s="1199"/>
      <c r="S5" s="1200"/>
      <c r="T5" s="1383"/>
      <c r="U5" s="1389" t="s">
        <v>432</v>
      </c>
      <c r="V5" s="1390"/>
      <c r="W5" s="1390"/>
      <c r="X5" s="1390"/>
    </row>
    <row r="6" spans="1:24" ht="18.75">
      <c r="A6" s="1568" t="s">
        <v>321</v>
      </c>
      <c r="B6" s="1569"/>
      <c r="C6" s="1570" t="s">
        <v>144</v>
      </c>
      <c r="D6" s="854">
        <v>250766</v>
      </c>
      <c r="E6" s="855">
        <v>5835.2</v>
      </c>
      <c r="F6" s="855">
        <v>7.33</v>
      </c>
      <c r="G6" s="855">
        <v>28.67</v>
      </c>
      <c r="H6" s="1251">
        <f>D6/G6</f>
        <v>8746.6341123125221</v>
      </c>
      <c r="I6" s="1545" t="s">
        <v>185</v>
      </c>
      <c r="J6" s="1304">
        <f>ROUND(6170+12.85*E6,2)</f>
        <v>81152.320000000007</v>
      </c>
      <c r="K6" s="1560"/>
      <c r="L6" s="1195"/>
      <c r="M6" s="854">
        <v>1638483</v>
      </c>
      <c r="N6" s="1196">
        <f>D6-M6</f>
        <v>-1387717</v>
      </c>
      <c r="O6" s="1387">
        <f>N6/M6</f>
        <v>-0.84695233334737074</v>
      </c>
      <c r="P6" s="1593">
        <v>5835.2</v>
      </c>
      <c r="Q6" s="1589">
        <f>E6-P6</f>
        <v>0</v>
      </c>
      <c r="R6" s="1590">
        <f>12.85*Q6</f>
        <v>0</v>
      </c>
      <c r="S6" s="1200"/>
      <c r="T6" s="1006"/>
      <c r="U6" s="925" t="s">
        <v>427</v>
      </c>
      <c r="V6" s="793"/>
      <c r="W6" s="793"/>
      <c r="X6" s="793"/>
    </row>
    <row r="7" spans="1:24" ht="24.75" customHeight="1">
      <c r="A7" s="1571" t="s">
        <v>147</v>
      </c>
      <c r="B7" s="1572"/>
      <c r="C7" s="1573"/>
      <c r="D7" s="1253"/>
      <c r="E7" s="1254"/>
      <c r="F7" s="1254"/>
      <c r="G7" s="1254"/>
      <c r="H7" s="1255"/>
      <c r="I7" s="1547"/>
      <c r="J7" s="1305"/>
      <c r="K7" s="1560"/>
      <c r="L7" s="1195"/>
      <c r="M7" s="1253"/>
      <c r="N7" s="1226"/>
      <c r="O7" s="1272"/>
      <c r="P7" s="1594"/>
      <c r="Q7" s="1198"/>
      <c r="R7" s="1590"/>
      <c r="S7" s="1200"/>
      <c r="T7" s="1007"/>
      <c r="U7" s="925" t="s">
        <v>341</v>
      </c>
      <c r="V7" s="793"/>
      <c r="W7" s="793"/>
      <c r="X7" s="793"/>
    </row>
    <row r="8" spans="1:24" ht="19.5" hidden="1" customHeight="1">
      <c r="A8" s="1574" t="s">
        <v>223</v>
      </c>
      <c r="B8" s="1575"/>
      <c r="C8" s="1427" t="s">
        <v>127</v>
      </c>
      <c r="D8" s="865">
        <v>0</v>
      </c>
      <c r="E8" s="866">
        <v>0</v>
      </c>
      <c r="F8" s="866">
        <v>0</v>
      </c>
      <c r="G8" s="866">
        <v>0</v>
      </c>
      <c r="H8" s="1260">
        <v>0</v>
      </c>
      <c r="I8" s="1546" t="s">
        <v>185</v>
      </c>
      <c r="J8" s="1303">
        <v>0</v>
      </c>
      <c r="K8" s="1560"/>
      <c r="L8" s="1195"/>
      <c r="M8" s="865">
        <v>0</v>
      </c>
      <c r="N8" s="1204">
        <f>D8-M8</f>
        <v>0</v>
      </c>
      <c r="O8" s="1529">
        <v>2019</v>
      </c>
      <c r="P8" s="1429">
        <v>0</v>
      </c>
      <c r="Q8" s="1198">
        <f>E8-P8</f>
        <v>0</v>
      </c>
      <c r="R8" s="1591"/>
      <c r="S8" s="1200"/>
      <c r="V8" s="793"/>
      <c r="W8" s="793"/>
      <c r="X8" s="793"/>
    </row>
    <row r="9" spans="1:24" ht="18.75">
      <c r="A9" s="1574" t="s">
        <v>224</v>
      </c>
      <c r="B9" s="1575"/>
      <c r="C9" s="1427" t="s">
        <v>128</v>
      </c>
      <c r="D9" s="865">
        <v>0</v>
      </c>
      <c r="E9" s="866">
        <v>615.9</v>
      </c>
      <c r="F9" s="866">
        <v>0</v>
      </c>
      <c r="G9" s="866">
        <v>0</v>
      </c>
      <c r="H9" s="965">
        <v>0</v>
      </c>
      <c r="I9" s="1546" t="s">
        <v>185</v>
      </c>
      <c r="J9" s="1303">
        <f>ROUND(6170+12.85*E9,2)</f>
        <v>14084.32</v>
      </c>
      <c r="K9" s="1560"/>
      <c r="L9" s="1195"/>
      <c r="M9" s="865">
        <v>0</v>
      </c>
      <c r="N9" s="1204">
        <f>D9-M9</f>
        <v>0</v>
      </c>
      <c r="O9" s="1384">
        <v>2004</v>
      </c>
      <c r="P9" s="1429">
        <v>615.9</v>
      </c>
      <c r="Q9" s="1198">
        <f>E9-P9</f>
        <v>0</v>
      </c>
      <c r="R9" s="1590"/>
      <c r="S9" s="1374"/>
      <c r="T9" s="1008"/>
      <c r="U9" s="925" t="s">
        <v>342</v>
      </c>
      <c r="V9" s="793"/>
      <c r="W9" s="793"/>
      <c r="X9" s="793"/>
    </row>
    <row r="10" spans="1:24" ht="19.5" thickBot="1">
      <c r="A10" s="1574" t="s">
        <v>291</v>
      </c>
      <c r="B10" s="1575"/>
      <c r="C10" s="1427" t="s">
        <v>177</v>
      </c>
      <c r="D10" s="1261">
        <v>0</v>
      </c>
      <c r="E10" s="1262">
        <v>531.9</v>
      </c>
      <c r="F10" s="1262">
        <v>0</v>
      </c>
      <c r="G10" s="1262">
        <v>0</v>
      </c>
      <c r="H10" s="1263">
        <v>0</v>
      </c>
      <c r="I10" s="1548" t="s">
        <v>185</v>
      </c>
      <c r="J10" s="1306">
        <f>ROUND(6170+12.85*E10,2)</f>
        <v>13004.92</v>
      </c>
      <c r="K10" s="1561"/>
      <c r="L10" s="1195"/>
      <c r="M10" s="1261">
        <v>0</v>
      </c>
      <c r="N10" s="1206">
        <f>D10-M10</f>
        <v>0</v>
      </c>
      <c r="O10" s="1384">
        <v>2001</v>
      </c>
      <c r="P10" s="1595">
        <v>531.9</v>
      </c>
      <c r="Q10" s="1198">
        <f>E10-P10</f>
        <v>0</v>
      </c>
      <c r="R10" s="1590"/>
      <c r="S10" s="1200"/>
      <c r="T10" s="1009"/>
      <c r="U10" s="925" t="s">
        <v>483</v>
      </c>
      <c r="V10" s="793"/>
      <c r="W10" s="793"/>
      <c r="X10" s="793"/>
    </row>
    <row r="11" spans="1:24" ht="19.5" thickTop="1">
      <c r="A11" s="1576"/>
      <c r="B11" s="1577"/>
      <c r="C11" s="1578" t="s">
        <v>278</v>
      </c>
      <c r="D11" s="854">
        <f>SUM(D8:D10)</f>
        <v>0</v>
      </c>
      <c r="E11" s="855">
        <f>ROUND(SUM(E8:E10),1)</f>
        <v>1147.8</v>
      </c>
      <c r="F11" s="855">
        <f>SUM(F8:F10)</f>
        <v>0</v>
      </c>
      <c r="G11" s="855">
        <f>SUM(G8:G10)</f>
        <v>0</v>
      </c>
      <c r="H11" s="977"/>
      <c r="I11" s="1549" t="s">
        <v>185</v>
      </c>
      <c r="J11" s="1309">
        <f>SUM(J8:J10)</f>
        <v>27089.239999999998</v>
      </c>
      <c r="K11" s="1561"/>
      <c r="L11" s="1432"/>
      <c r="M11" s="854">
        <f>SUM(M8:M10)</f>
        <v>0</v>
      </c>
      <c r="N11" s="1196">
        <f>D11-M11</f>
        <v>0</v>
      </c>
      <c r="O11" s="1386"/>
      <c r="P11" s="1593">
        <f>ROUND(SUM(P8:P10),1)</f>
        <v>1147.8</v>
      </c>
      <c r="Q11" s="1198">
        <f>E11-P11</f>
        <v>0</v>
      </c>
      <c r="R11" s="1590"/>
      <c r="S11" s="1200"/>
      <c r="T11" s="1378"/>
      <c r="U11" s="925" t="s">
        <v>482</v>
      </c>
      <c r="V11" s="860"/>
      <c r="W11" s="860"/>
      <c r="X11" s="860"/>
    </row>
    <row r="12" spans="1:24" ht="18.75">
      <c r="A12" s="1565" t="s">
        <v>313</v>
      </c>
      <c r="B12" s="1579"/>
      <c r="C12" s="1580"/>
      <c r="D12" s="865"/>
      <c r="E12" s="866"/>
      <c r="F12" s="866"/>
      <c r="G12" s="866"/>
      <c r="H12" s="965"/>
      <c r="I12" s="1550"/>
      <c r="J12" s="1307"/>
      <c r="K12" s="1561"/>
      <c r="L12" s="1195"/>
      <c r="M12" s="865"/>
      <c r="N12" s="1204"/>
      <c r="O12" s="1617">
        <v>2020</v>
      </c>
      <c r="P12" s="1429"/>
      <c r="Q12" s="1198"/>
      <c r="R12" s="1590"/>
      <c r="S12" s="1200"/>
      <c r="T12" s="1291"/>
      <c r="U12" s="925" t="s">
        <v>486</v>
      </c>
      <c r="V12" s="1533"/>
      <c r="W12" s="1533"/>
      <c r="X12" s="1533"/>
    </row>
    <row r="13" spans="1:24" ht="18.75" hidden="1">
      <c r="A13" s="1581">
        <v>57</v>
      </c>
      <c r="B13" s="1579"/>
      <c r="C13" s="1427" t="s">
        <v>314</v>
      </c>
      <c r="D13" s="865">
        <v>0</v>
      </c>
      <c r="E13" s="866">
        <v>0</v>
      </c>
      <c r="F13" s="1265">
        <v>0</v>
      </c>
      <c r="G13" s="1265">
        <v>0</v>
      </c>
      <c r="H13" s="965">
        <v>0</v>
      </c>
      <c r="I13" s="1550" t="s">
        <v>185</v>
      </c>
      <c r="J13" s="1307">
        <v>0</v>
      </c>
      <c r="K13" s="1562"/>
      <c r="L13" s="1195"/>
      <c r="M13" s="865">
        <v>0</v>
      </c>
      <c r="N13" s="1204">
        <f>D13-M13</f>
        <v>0</v>
      </c>
      <c r="O13" s="1610">
        <v>2020</v>
      </c>
      <c r="P13" s="1429">
        <v>0</v>
      </c>
      <c r="Q13" s="1198">
        <f>E13-P13</f>
        <v>0</v>
      </c>
      <c r="R13" s="1590"/>
      <c r="S13" s="1200"/>
      <c r="T13" s="1611"/>
      <c r="U13" s="925" t="s">
        <v>485</v>
      </c>
      <c r="V13" s="793"/>
      <c r="W13" s="793"/>
      <c r="X13" s="793"/>
    </row>
    <row r="14" spans="1:24" ht="18.75">
      <c r="A14" s="1574" t="s">
        <v>491</v>
      </c>
      <c r="B14" s="1579"/>
      <c r="C14" s="1427" t="s">
        <v>326</v>
      </c>
      <c r="D14" s="854">
        <v>83235</v>
      </c>
      <c r="E14" s="855">
        <v>1126</v>
      </c>
      <c r="F14" s="1613">
        <v>29.08</v>
      </c>
      <c r="G14" s="1613">
        <v>14.61</v>
      </c>
      <c r="H14" s="964">
        <f>D14/G14</f>
        <v>5697.1252566735111</v>
      </c>
      <c r="I14" s="1549" t="s">
        <v>185</v>
      </c>
      <c r="J14" s="1302">
        <f>ROUND(6170+12.85*E14,2)</f>
        <v>20639.099999999999</v>
      </c>
      <c r="K14" s="1562"/>
      <c r="L14" s="1614"/>
      <c r="M14" s="854">
        <v>185718</v>
      </c>
      <c r="N14" s="1196">
        <f>D14-M14</f>
        <v>-102483</v>
      </c>
      <c r="O14" s="1616">
        <f>N14/M14</f>
        <v>-0.55182050205149746</v>
      </c>
      <c r="P14" s="1593">
        <v>1126</v>
      </c>
      <c r="Q14" s="1198">
        <f>E14-P14</f>
        <v>0</v>
      </c>
      <c r="R14" s="1590">
        <f>12.85*Q14</f>
        <v>0</v>
      </c>
      <c r="S14" s="1200"/>
      <c r="V14" s="793"/>
      <c r="W14" s="793"/>
      <c r="X14" s="793"/>
    </row>
    <row r="15" spans="1:24" ht="18.75">
      <c r="A15" s="1581"/>
      <c r="B15" s="1579"/>
      <c r="C15" s="1580" t="s">
        <v>325</v>
      </c>
      <c r="D15" s="870">
        <f>SUM(D13:D14)</f>
        <v>83235</v>
      </c>
      <c r="E15" s="885">
        <f>ROUND(SUM(E13:E14),1)</f>
        <v>1126</v>
      </c>
      <c r="F15" s="779">
        <f t="shared" ref="F15:G15" si="0">SUM(F13:F14)</f>
        <v>29.08</v>
      </c>
      <c r="G15" s="779">
        <f t="shared" si="0"/>
        <v>14.61</v>
      </c>
      <c r="H15" s="1111"/>
      <c r="I15" s="1612"/>
      <c r="J15" s="1303">
        <f>SUM(J13:J14)</f>
        <v>20639.099999999999</v>
      </c>
      <c r="K15" s="1563"/>
      <c r="L15" s="1195"/>
      <c r="M15" s="870">
        <f>SUM(M13:M14)</f>
        <v>185718</v>
      </c>
      <c r="N15" s="1204">
        <f>SUM(N13:N14)</f>
        <v>-102483</v>
      </c>
      <c r="O15" s="1615">
        <f>N15/M15</f>
        <v>-0.55182050205149746</v>
      </c>
      <c r="P15" s="1596">
        <f>ROUND(SUM(P13:P14),1)</f>
        <v>1126</v>
      </c>
      <c r="Q15" s="1198"/>
      <c r="R15" s="1590"/>
      <c r="S15" s="1200"/>
      <c r="T15" s="1534"/>
      <c r="U15" s="1535" t="s">
        <v>487</v>
      </c>
      <c r="V15" s="793"/>
      <c r="W15" s="793"/>
      <c r="X15" s="793"/>
    </row>
    <row r="16" spans="1:24" ht="18.75">
      <c r="A16" s="1571" t="s">
        <v>180</v>
      </c>
      <c r="B16" s="1572"/>
      <c r="C16" s="1573"/>
      <c r="D16" s="1253"/>
      <c r="E16" s="1254"/>
      <c r="F16" s="1254"/>
      <c r="G16" s="1254"/>
      <c r="H16" s="1255"/>
      <c r="I16" s="1547"/>
      <c r="J16" s="1305"/>
      <c r="K16" s="1563"/>
      <c r="L16" s="1195"/>
      <c r="M16" s="1253"/>
      <c r="N16" s="1226"/>
      <c r="O16" s="1272"/>
      <c r="P16" s="1594"/>
      <c r="Q16" s="1198"/>
      <c r="R16" s="1590"/>
      <c r="S16" s="1200"/>
      <c r="T16" s="1536" t="s">
        <v>438</v>
      </c>
      <c r="U16" s="793"/>
      <c r="V16" s="793"/>
      <c r="W16" s="793"/>
      <c r="X16" s="793"/>
    </row>
    <row r="17" spans="1:28" ht="18.75">
      <c r="A17" s="1574" t="s">
        <v>399</v>
      </c>
      <c r="B17" s="1575"/>
      <c r="C17" s="1427" t="s">
        <v>132</v>
      </c>
      <c r="D17" s="865">
        <v>0</v>
      </c>
      <c r="E17" s="866">
        <v>10940.2</v>
      </c>
      <c r="F17" s="866">
        <v>0</v>
      </c>
      <c r="G17" s="866">
        <v>0</v>
      </c>
      <c r="H17" s="1111">
        <v>0</v>
      </c>
      <c r="I17" s="1546" t="s">
        <v>185</v>
      </c>
      <c r="J17" s="1303">
        <f>ROUND(6170+12.85*E17,2)</f>
        <v>146751.57</v>
      </c>
      <c r="K17" s="1563"/>
      <c r="L17" s="1195"/>
      <c r="M17" s="865">
        <v>0</v>
      </c>
      <c r="N17" s="1204">
        <f>D17-M17</f>
        <v>0</v>
      </c>
      <c r="O17" s="1384" t="s">
        <v>430</v>
      </c>
      <c r="P17" s="1429">
        <v>10940.2</v>
      </c>
      <c r="Q17" s="1198">
        <f>E17-P17</f>
        <v>0</v>
      </c>
      <c r="R17" s="1590"/>
      <c r="S17" s="1200"/>
      <c r="T17" s="921"/>
      <c r="U17" s="793"/>
      <c r="V17" s="793"/>
      <c r="W17" s="793"/>
      <c r="X17" s="793"/>
    </row>
    <row r="18" spans="1:28" ht="19.5" thickBot="1">
      <c r="A18" s="1574" t="s">
        <v>253</v>
      </c>
      <c r="B18" s="1575"/>
      <c r="C18" s="1427" t="s">
        <v>157</v>
      </c>
      <c r="D18" s="1261">
        <v>0</v>
      </c>
      <c r="E18" s="1262">
        <v>4457.7</v>
      </c>
      <c r="F18" s="1262">
        <v>58</v>
      </c>
      <c r="G18" s="1262">
        <v>0</v>
      </c>
      <c r="H18" s="1270">
        <v>0</v>
      </c>
      <c r="I18" s="1551" t="s">
        <v>185</v>
      </c>
      <c r="J18" s="1306">
        <f>ROUND(6170+12.85*E18,2)</f>
        <v>63451.45</v>
      </c>
      <c r="K18" s="1563"/>
      <c r="L18" s="1195"/>
      <c r="M18" s="1261">
        <v>0</v>
      </c>
      <c r="N18" s="1206">
        <f>D18-M18</f>
        <v>0</v>
      </c>
      <c r="O18" s="1384">
        <v>2015</v>
      </c>
      <c r="P18" s="1595">
        <v>4457.7</v>
      </c>
      <c r="Q18" s="1198">
        <f t="shared" ref="Q18:Q27" si="1">E18-P18</f>
        <v>0</v>
      </c>
      <c r="R18" s="1590"/>
      <c r="S18" s="1200"/>
      <c r="T18" s="921"/>
      <c r="U18" s="793"/>
      <c r="V18" s="793"/>
      <c r="W18" s="793"/>
      <c r="X18" s="793"/>
    </row>
    <row r="19" spans="1:28" ht="19.5" thickTop="1">
      <c r="A19" s="1576"/>
      <c r="B19" s="1577"/>
      <c r="C19" s="1578" t="s">
        <v>279</v>
      </c>
      <c r="D19" s="859">
        <f>SUM(D17:D18)</f>
        <v>0</v>
      </c>
      <c r="E19" s="861">
        <f>ROUND(SUM(E17:E18),2)</f>
        <v>15397.9</v>
      </c>
      <c r="F19" s="861">
        <f>SUM(F17:F18)</f>
        <v>58</v>
      </c>
      <c r="G19" s="861">
        <f>SUM(G17:G18)</f>
        <v>0</v>
      </c>
      <c r="H19" s="977">
        <f>SUM(H16:H18)</f>
        <v>0</v>
      </c>
      <c r="I19" s="1545" t="s">
        <v>185</v>
      </c>
      <c r="J19" s="1304">
        <f>SUM(J17:J18)</f>
        <v>210203.02000000002</v>
      </c>
      <c r="K19" s="1563"/>
      <c r="L19" s="1195"/>
      <c r="M19" s="859">
        <f>SUM(M17:M18)</f>
        <v>0</v>
      </c>
      <c r="N19" s="1196">
        <f>D19-M19</f>
        <v>0</v>
      </c>
      <c r="O19" s="1272"/>
      <c r="P19" s="1597">
        <f>ROUND(SUM(P17:P18),2)</f>
        <v>15397.9</v>
      </c>
      <c r="Q19" s="1198"/>
      <c r="R19" s="1590"/>
      <c r="S19" s="1200"/>
      <c r="T19" s="927"/>
      <c r="U19" s="860"/>
      <c r="V19" s="1623"/>
      <c r="W19" s="1623"/>
      <c r="X19" s="1623" t="s">
        <v>488</v>
      </c>
      <c r="Y19" s="1624"/>
      <c r="Z19" s="1624"/>
      <c r="AA19" s="1624"/>
    </row>
    <row r="20" spans="1:28" ht="18.75">
      <c r="A20" s="1571" t="s">
        <v>75</v>
      </c>
      <c r="B20" s="1572"/>
      <c r="C20" s="1573"/>
      <c r="D20" s="1253"/>
      <c r="E20" s="1254"/>
      <c r="F20" s="1254"/>
      <c r="G20" s="1254"/>
      <c r="H20" s="1255"/>
      <c r="I20" s="1547"/>
      <c r="J20" s="1305"/>
      <c r="K20" s="1563"/>
      <c r="L20" s="1195"/>
      <c r="M20" s="1253"/>
      <c r="N20" s="1226"/>
      <c r="O20" s="1272"/>
      <c r="P20" s="1594"/>
      <c r="Q20" s="1198"/>
      <c r="R20" s="1590"/>
      <c r="S20" s="1200"/>
      <c r="T20" s="793"/>
      <c r="U20" s="860">
        <v>28</v>
      </c>
      <c r="V20" s="793" t="s">
        <v>351</v>
      </c>
      <c r="W20" s="921"/>
      <c r="X20" s="793"/>
    </row>
    <row r="21" spans="1:28" ht="18.75">
      <c r="A21" s="1574" t="s">
        <v>492</v>
      </c>
      <c r="B21" s="1575"/>
      <c r="C21" s="1427" t="s">
        <v>216</v>
      </c>
      <c r="D21" s="865">
        <v>693180</v>
      </c>
      <c r="E21" s="866">
        <v>19783</v>
      </c>
      <c r="F21" s="866">
        <v>111</v>
      </c>
      <c r="G21" s="866">
        <v>98</v>
      </c>
      <c r="H21" s="1111">
        <f>D21/G21</f>
        <v>7073.2653061224491</v>
      </c>
      <c r="I21" s="1546" t="s">
        <v>185</v>
      </c>
      <c r="J21" s="1303">
        <f>ROUND(6170+12.85*E21,2)</f>
        <v>260381.55</v>
      </c>
      <c r="K21" s="1563"/>
      <c r="L21" s="1195"/>
      <c r="M21" s="865">
        <v>1065829</v>
      </c>
      <c r="N21" s="1204">
        <f>D21-M21</f>
        <v>-372649</v>
      </c>
      <c r="O21" s="1377">
        <f>N21/M21</f>
        <v>-0.34963300867212282</v>
      </c>
      <c r="P21" s="1429">
        <v>19783.099999999999</v>
      </c>
      <c r="Q21" s="1198">
        <f t="shared" si="1"/>
        <v>-9.9999999998544808E-2</v>
      </c>
      <c r="R21" s="1590">
        <f>12.85*Q21</f>
        <v>-1.2849999999813007</v>
      </c>
      <c r="S21" s="1200"/>
      <c r="T21" s="1391" t="s">
        <v>360</v>
      </c>
      <c r="U21" s="1537">
        <v>1</v>
      </c>
      <c r="V21" s="1533" t="s">
        <v>489</v>
      </c>
      <c r="W21" s="1621"/>
      <c r="X21" s="1533"/>
      <c r="Y21" s="1622"/>
      <c r="Z21" s="1622"/>
      <c r="AA21" s="1622"/>
      <c r="AB21" s="1622"/>
    </row>
    <row r="22" spans="1:28" ht="19.5" thickBot="1">
      <c r="A22" s="1574" t="s">
        <v>418</v>
      </c>
      <c r="B22" s="1575"/>
      <c r="C22" s="1427" t="s">
        <v>293</v>
      </c>
      <c r="D22" s="1261">
        <v>933156</v>
      </c>
      <c r="E22" s="1262">
        <v>9070</v>
      </c>
      <c r="F22" s="1262">
        <v>131</v>
      </c>
      <c r="G22" s="1262">
        <v>79</v>
      </c>
      <c r="H22" s="1270">
        <f>D22/G22</f>
        <v>11812.101265822785</v>
      </c>
      <c r="I22" s="1551" t="s">
        <v>185</v>
      </c>
      <c r="J22" s="1306">
        <f>ROUND(6170+12.85*E22,2)</f>
        <v>122719.5</v>
      </c>
      <c r="K22" s="1563"/>
      <c r="L22" s="1195"/>
      <c r="M22" s="1261">
        <v>2073093</v>
      </c>
      <c r="N22" s="1206">
        <f>D22-M22</f>
        <v>-1139937</v>
      </c>
      <c r="O22" s="1377">
        <f>N22/M22</f>
        <v>-0.54987258169315123</v>
      </c>
      <c r="P22" s="1595">
        <v>9070</v>
      </c>
      <c r="Q22" s="1198">
        <f t="shared" si="1"/>
        <v>0</v>
      </c>
      <c r="R22" s="1590"/>
      <c r="S22" s="1200"/>
      <c r="T22" s="793"/>
      <c r="U22" s="1538">
        <f>U20-U21</f>
        <v>27</v>
      </c>
      <c r="V22" s="793" t="s">
        <v>434</v>
      </c>
      <c r="W22" s="921"/>
      <c r="X22" s="793"/>
    </row>
    <row r="23" spans="1:28" ht="19.5" thickTop="1">
      <c r="A23" s="1582"/>
      <c r="B23" s="1583"/>
      <c r="C23" s="1580" t="s">
        <v>294</v>
      </c>
      <c r="D23" s="870">
        <f>SUM(D21:D22)</f>
        <v>1626336</v>
      </c>
      <c r="E23" s="885">
        <f>ROUND(SUM(E21:E22),2)</f>
        <v>28853</v>
      </c>
      <c r="F23" s="885">
        <f>SUM(F21:F22)</f>
        <v>242</v>
      </c>
      <c r="G23" s="885">
        <f>SUM(G21:G22)</f>
        <v>177</v>
      </c>
      <c r="H23" s="965"/>
      <c r="I23" s="1546" t="s">
        <v>185</v>
      </c>
      <c r="J23" s="1303">
        <f>SUM(J21:J22)</f>
        <v>383101.05</v>
      </c>
      <c r="K23" s="1563"/>
      <c r="L23" s="1195"/>
      <c r="M23" s="870">
        <f>SUM(M21:M22)</f>
        <v>3138922</v>
      </c>
      <c r="N23" s="1204">
        <f>SUM(N21:N22)</f>
        <v>-1512586</v>
      </c>
      <c r="O23" s="1386">
        <f>N23/M23</f>
        <v>-0.48188072210778093</v>
      </c>
      <c r="P23" s="1596">
        <f>ROUND(SUM(P21:P22),2)</f>
        <v>28853.1</v>
      </c>
      <c r="Q23" s="1198"/>
      <c r="R23" s="1590"/>
      <c r="S23" s="1200"/>
      <c r="T23" s="1391" t="s">
        <v>360</v>
      </c>
      <c r="U23" s="1537">
        <v>2</v>
      </c>
      <c r="V23" s="793" t="s">
        <v>484</v>
      </c>
      <c r="W23" s="927"/>
      <c r="X23" s="860"/>
    </row>
    <row r="24" spans="1:28" ht="18.75">
      <c r="A24" s="1571" t="s">
        <v>338</v>
      </c>
      <c r="B24" s="1572"/>
      <c r="C24" s="1573"/>
      <c r="D24" s="1253"/>
      <c r="E24" s="1254"/>
      <c r="F24" s="1254"/>
      <c r="G24" s="1254"/>
      <c r="H24" s="1255"/>
      <c r="I24" s="1547"/>
      <c r="J24" s="1305"/>
      <c r="K24" s="1563"/>
      <c r="L24" s="1195"/>
      <c r="M24" s="1253"/>
      <c r="N24" s="1221"/>
      <c r="O24" s="1272"/>
      <c r="P24" s="1594"/>
      <c r="Q24" s="1198"/>
      <c r="R24" s="1590"/>
      <c r="S24" s="1200"/>
      <c r="T24" s="1391" t="s">
        <v>360</v>
      </c>
      <c r="U24" s="1537">
        <v>16</v>
      </c>
      <c r="V24" s="793" t="s">
        <v>436</v>
      </c>
      <c r="W24" s="921"/>
      <c r="X24" s="793"/>
    </row>
    <row r="25" spans="1:28" ht="18.75">
      <c r="A25" s="1574" t="s">
        <v>322</v>
      </c>
      <c r="B25" s="1575"/>
      <c r="C25" s="1427" t="s">
        <v>151</v>
      </c>
      <c r="D25" s="865">
        <v>655269</v>
      </c>
      <c r="E25" s="866">
        <v>10424.1</v>
      </c>
      <c r="F25" s="1265">
        <v>104.9</v>
      </c>
      <c r="G25" s="1265">
        <v>51.7</v>
      </c>
      <c r="H25" s="1111">
        <f>D25/G25</f>
        <v>12674.448742746614</v>
      </c>
      <c r="I25" s="1546" t="s">
        <v>185</v>
      </c>
      <c r="J25" s="1303">
        <f>ROUND(6170+12.85*E25,2)</f>
        <v>140119.69</v>
      </c>
      <c r="K25" s="1563"/>
      <c r="L25" s="1195"/>
      <c r="M25" s="865">
        <v>700709</v>
      </c>
      <c r="N25" s="1204">
        <f>D25-M25</f>
        <v>-45440</v>
      </c>
      <c r="O25" s="1377">
        <f>N25/M25</f>
        <v>-6.4848603343185263E-2</v>
      </c>
      <c r="P25" s="1429">
        <v>10424.1</v>
      </c>
      <c r="Q25" s="1198">
        <f t="shared" si="1"/>
        <v>0</v>
      </c>
      <c r="R25" s="1590"/>
      <c r="S25" s="1200"/>
      <c r="T25" s="1391" t="s">
        <v>360</v>
      </c>
      <c r="U25" s="1538">
        <v>0</v>
      </c>
      <c r="V25" s="1533" t="s">
        <v>481</v>
      </c>
      <c r="W25" s="921"/>
      <c r="X25" s="793"/>
    </row>
    <row r="26" spans="1:28" ht="18.75">
      <c r="A26" s="1574" t="s">
        <v>323</v>
      </c>
      <c r="B26" s="1575"/>
      <c r="C26" s="1427" t="s">
        <v>244</v>
      </c>
      <c r="D26" s="865">
        <v>0</v>
      </c>
      <c r="E26" s="866">
        <v>3243.9</v>
      </c>
      <c r="F26" s="1265">
        <v>0</v>
      </c>
      <c r="G26" s="1265">
        <v>0</v>
      </c>
      <c r="H26" s="1111">
        <v>0</v>
      </c>
      <c r="I26" s="1546" t="s">
        <v>185</v>
      </c>
      <c r="J26" s="1303">
        <f>ROUND(6170+12.85*E26,2)</f>
        <v>47854.12</v>
      </c>
      <c r="K26" s="1563"/>
      <c r="L26" s="1195"/>
      <c r="M26" s="865">
        <v>0</v>
      </c>
      <c r="N26" s="1204">
        <f>D26-M26</f>
        <v>0</v>
      </c>
      <c r="O26" s="1618">
        <v>2018</v>
      </c>
      <c r="P26" s="1429">
        <v>3243.9</v>
      </c>
      <c r="Q26" s="1198">
        <f t="shared" si="1"/>
        <v>0</v>
      </c>
      <c r="R26" s="1590"/>
      <c r="S26" s="1200"/>
      <c r="T26" s="1391" t="s">
        <v>360</v>
      </c>
      <c r="U26" s="1540">
        <v>3</v>
      </c>
      <c r="V26" s="793" t="s">
        <v>475</v>
      </c>
      <c r="W26" s="921"/>
      <c r="X26" s="793"/>
    </row>
    <row r="27" spans="1:28" ht="19.5" thickBot="1">
      <c r="A27" s="1574">
        <v>60</v>
      </c>
      <c r="B27" s="1575"/>
      <c r="C27" s="1427" t="s">
        <v>419</v>
      </c>
      <c r="D27" s="1261">
        <v>1992447</v>
      </c>
      <c r="E27" s="1262">
        <v>1968</v>
      </c>
      <c r="F27" s="1267">
        <v>195.3</v>
      </c>
      <c r="G27" s="1267">
        <v>185.4</v>
      </c>
      <c r="H27" s="1270">
        <f>D27/G27</f>
        <v>10746.747572815533</v>
      </c>
      <c r="I27" s="1551" t="s">
        <v>185</v>
      </c>
      <c r="J27" s="1306">
        <f>ROUND(6170+12.85*E27,2)</f>
        <v>31458.799999999999</v>
      </c>
      <c r="K27" s="1563"/>
      <c r="L27" s="1195"/>
      <c r="M27" s="1261">
        <v>2303071</v>
      </c>
      <c r="N27" s="1206">
        <f>D27-M27</f>
        <v>-310624</v>
      </c>
      <c r="O27" s="1619">
        <f t="shared" ref="O27" si="2">N27/M27</f>
        <v>-0.13487382716381735</v>
      </c>
      <c r="P27" s="1595">
        <v>1968</v>
      </c>
      <c r="Q27" s="1198">
        <f t="shared" si="1"/>
        <v>0</v>
      </c>
      <c r="R27" s="1590"/>
      <c r="S27" s="1200"/>
      <c r="T27" s="1391"/>
      <c r="U27" s="1537">
        <v>1</v>
      </c>
      <c r="V27" s="793" t="s">
        <v>357</v>
      </c>
      <c r="W27" s="921"/>
      <c r="X27" s="793"/>
    </row>
    <row r="28" spans="1:28" ht="19.5" thickTop="1">
      <c r="A28" s="1582"/>
      <c r="B28" s="1583"/>
      <c r="C28" s="1580" t="s">
        <v>280</v>
      </c>
      <c r="D28" s="870">
        <f>SUM(D25:D27)</f>
        <v>2647716</v>
      </c>
      <c r="E28" s="885">
        <f>ROUND(SUM(E25:E27),2)</f>
        <v>15636</v>
      </c>
      <c r="F28" s="779">
        <f>SUM(F25:F27)</f>
        <v>300.20000000000005</v>
      </c>
      <c r="G28" s="779">
        <f>SUM(G25:G27)</f>
        <v>237.10000000000002</v>
      </c>
      <c r="H28" s="965"/>
      <c r="I28" s="1546" t="s">
        <v>185</v>
      </c>
      <c r="J28" s="1303">
        <f>SUM(J25:J27)</f>
        <v>219432.61</v>
      </c>
      <c r="K28" s="1563"/>
      <c r="L28" s="1195"/>
      <c r="M28" s="870">
        <f>SUM(M25:M27)</f>
        <v>3003780</v>
      </c>
      <c r="N28" s="1204">
        <f>SUM(N25:N27)</f>
        <v>-356064</v>
      </c>
      <c r="O28" s="1386">
        <f>N28/M28</f>
        <v>-0.11853864131194694</v>
      </c>
      <c r="P28" s="1596">
        <f>ROUND(SUM(P25:P27),2)</f>
        <v>15636</v>
      </c>
      <c r="Q28" s="1198"/>
      <c r="R28" s="1590"/>
      <c r="S28" s="1200"/>
      <c r="T28" s="1107"/>
      <c r="U28" s="1540">
        <v>9</v>
      </c>
      <c r="V28" s="793" t="s">
        <v>471</v>
      </c>
      <c r="W28" s="927"/>
      <c r="X28" s="793"/>
    </row>
    <row r="29" spans="1:28" ht="18.75">
      <c r="A29" s="1571" t="s">
        <v>78</v>
      </c>
      <c r="B29" s="1572"/>
      <c r="C29" s="1573"/>
      <c r="D29" s="1253"/>
      <c r="E29" s="1254"/>
      <c r="F29" s="1254"/>
      <c r="G29" s="1254"/>
      <c r="H29" s="1255"/>
      <c r="I29" s="1547"/>
      <c r="J29" s="1305"/>
      <c r="K29" s="1563"/>
      <c r="L29" s="1195"/>
      <c r="M29" s="1253"/>
      <c r="N29" s="1226"/>
      <c r="O29" s="1272"/>
      <c r="P29" s="1594"/>
      <c r="Q29" s="1198"/>
      <c r="R29" s="1590"/>
      <c r="S29" s="1200"/>
      <c r="T29" s="1108"/>
      <c r="U29" s="1538">
        <v>7</v>
      </c>
      <c r="V29" s="793" t="s">
        <v>354</v>
      </c>
      <c r="W29" s="921"/>
      <c r="X29" s="793"/>
    </row>
    <row r="30" spans="1:28" ht="18.75">
      <c r="A30" s="1574" t="s">
        <v>230</v>
      </c>
      <c r="B30" s="1575"/>
      <c r="C30" s="1427" t="s">
        <v>134</v>
      </c>
      <c r="D30" s="865">
        <v>0</v>
      </c>
      <c r="E30" s="866">
        <v>684.1</v>
      </c>
      <c r="F30" s="866">
        <v>0</v>
      </c>
      <c r="G30" s="866">
        <v>0</v>
      </c>
      <c r="H30" s="965">
        <v>0</v>
      </c>
      <c r="I30" s="1546" t="s">
        <v>185</v>
      </c>
      <c r="J30" s="1303">
        <f>ROUND(6170+12.85*E30,2)</f>
        <v>14960.69</v>
      </c>
      <c r="K30" s="1563"/>
      <c r="L30" s="1195"/>
      <c r="M30" s="865">
        <v>0</v>
      </c>
      <c r="N30" s="1204">
        <f>D30-M30</f>
        <v>0</v>
      </c>
      <c r="O30" s="1384" t="s">
        <v>431</v>
      </c>
      <c r="P30" s="1429">
        <v>684.1</v>
      </c>
      <c r="Q30" s="1198">
        <f t="shared" ref="Q30:Q50" si="3">E30-P30</f>
        <v>0</v>
      </c>
      <c r="R30" s="1590">
        <f>12.85*Q30</f>
        <v>0</v>
      </c>
      <c r="S30" s="1230"/>
      <c r="T30" s="793"/>
      <c r="U30" s="1538">
        <v>2</v>
      </c>
      <c r="V30" s="793" t="s">
        <v>353</v>
      </c>
      <c r="W30" s="921"/>
      <c r="X30" s="793"/>
    </row>
    <row r="31" spans="1:28" ht="19.5" thickBot="1">
      <c r="A31" s="1574" t="s">
        <v>231</v>
      </c>
      <c r="B31" s="1575"/>
      <c r="C31" s="1427" t="s">
        <v>178</v>
      </c>
      <c r="D31" s="1261">
        <v>0</v>
      </c>
      <c r="E31" s="1262">
        <v>824.7</v>
      </c>
      <c r="F31" s="1262">
        <v>0</v>
      </c>
      <c r="G31" s="1262">
        <v>0</v>
      </c>
      <c r="H31" s="1268">
        <v>0</v>
      </c>
      <c r="I31" s="1551" t="s">
        <v>185</v>
      </c>
      <c r="J31" s="1306">
        <f>ROUND(6170+12.85*E31,2)</f>
        <v>16767.400000000001</v>
      </c>
      <c r="K31" s="1563"/>
      <c r="L31" s="1195"/>
      <c r="M31" s="1261">
        <v>0</v>
      </c>
      <c r="N31" s="1206">
        <f>D31-M31</f>
        <v>0</v>
      </c>
      <c r="O31" s="1384">
        <v>1996</v>
      </c>
      <c r="P31" s="1595">
        <v>824.7</v>
      </c>
      <c r="Q31" s="1198">
        <f t="shared" si="3"/>
        <v>0</v>
      </c>
      <c r="R31" s="1590"/>
      <c r="S31" s="1230"/>
      <c r="T31" s="1107"/>
      <c r="U31" s="1539">
        <v>0</v>
      </c>
      <c r="V31" s="793" t="s">
        <v>437</v>
      </c>
      <c r="W31" s="921"/>
      <c r="X31" s="793"/>
    </row>
    <row r="32" spans="1:28" ht="19.5" thickTop="1">
      <c r="A32" s="1576"/>
      <c r="B32" s="1577"/>
      <c r="C32" s="1578" t="s">
        <v>281</v>
      </c>
      <c r="D32" s="859">
        <f>SUM(D30:D31)</f>
        <v>0</v>
      </c>
      <c r="E32" s="861">
        <f>ROUND(SUM(E30:E31),2)</f>
        <v>1508.8</v>
      </c>
      <c r="F32" s="861">
        <f>SUM(F30:F31)</f>
        <v>0</v>
      </c>
      <c r="G32" s="861">
        <f>SUM(G30:G31)</f>
        <v>0</v>
      </c>
      <c r="H32" s="964">
        <v>0</v>
      </c>
      <c r="I32" s="1549" t="s">
        <v>185</v>
      </c>
      <c r="J32" s="1309">
        <f>SUM(J30:J31)</f>
        <v>31728.090000000004</v>
      </c>
      <c r="K32" s="1562"/>
      <c r="L32" s="1195"/>
      <c r="M32" s="859">
        <f>SUM(M30:M31)</f>
        <v>0</v>
      </c>
      <c r="N32" s="1196">
        <f>D32-M32</f>
        <v>0</v>
      </c>
      <c r="O32" s="1386"/>
      <c r="P32" s="1597">
        <f>ROUND(SUM(P30:P31),2)</f>
        <v>1508.8</v>
      </c>
      <c r="Q32" s="1198"/>
      <c r="R32" s="1590"/>
      <c r="S32" s="1200"/>
      <c r="T32" s="927"/>
      <c r="U32" s="860"/>
      <c r="X32" s="793"/>
    </row>
    <row r="33" spans="1:26" ht="18.75">
      <c r="A33" s="1571" t="s">
        <v>219</v>
      </c>
      <c r="B33" s="1572"/>
      <c r="C33" s="1573"/>
      <c r="D33" s="1221"/>
      <c r="E33" s="1222"/>
      <c r="F33" s="1222"/>
      <c r="G33" s="1222"/>
      <c r="H33" s="1223"/>
      <c r="I33" s="1552"/>
      <c r="J33" s="1310"/>
      <c r="K33" s="1563"/>
      <c r="L33" s="1195"/>
      <c r="M33" s="1221"/>
      <c r="N33" s="1226"/>
      <c r="O33" s="1272"/>
      <c r="P33" s="1598"/>
      <c r="Q33" s="1198"/>
      <c r="R33" s="1590"/>
      <c r="S33" s="1200"/>
      <c r="T33" s="921"/>
      <c r="U33" s="793"/>
      <c r="V33" s="793" t="s">
        <v>516</v>
      </c>
      <c r="W33" s="987" t="s">
        <v>514</v>
      </c>
      <c r="X33" s="793" t="s">
        <v>519</v>
      </c>
      <c r="Y33" t="s">
        <v>518</v>
      </c>
      <c r="Z33" s="793" t="s">
        <v>521</v>
      </c>
    </row>
    <row r="34" spans="1:26" ht="18.75">
      <c r="A34" s="1574" t="s">
        <v>311</v>
      </c>
      <c r="B34" s="1575"/>
      <c r="C34" s="1427" t="s">
        <v>136</v>
      </c>
      <c r="D34" s="865">
        <v>0</v>
      </c>
      <c r="E34" s="866">
        <v>4363</v>
      </c>
      <c r="F34" s="866">
        <v>0</v>
      </c>
      <c r="G34" s="866">
        <v>0</v>
      </c>
      <c r="H34" s="965">
        <v>0</v>
      </c>
      <c r="I34" s="1546" t="s">
        <v>185</v>
      </c>
      <c r="J34" s="1303">
        <f t="shared" ref="J34:J46" si="4">ROUND(6170+12.85*E34,2)</f>
        <v>62234.55</v>
      </c>
      <c r="K34" s="1563"/>
      <c r="L34" s="1195"/>
      <c r="M34" s="865">
        <v>0</v>
      </c>
      <c r="N34" s="1204">
        <f t="shared" ref="N34:N47" si="5">D34-M34</f>
        <v>0</v>
      </c>
      <c r="O34" s="1384">
        <v>2011</v>
      </c>
      <c r="P34" s="1429">
        <v>4363</v>
      </c>
      <c r="Q34" s="1198">
        <f t="shared" si="3"/>
        <v>0</v>
      </c>
      <c r="R34" s="1590"/>
      <c r="S34" s="1200"/>
      <c r="T34" s="921"/>
      <c r="U34" s="793"/>
      <c r="V34" s="793" t="s">
        <v>515</v>
      </c>
      <c r="W34" s="793" t="s">
        <v>515</v>
      </c>
      <c r="X34" s="1625" t="s">
        <v>520</v>
      </c>
      <c r="Y34" s="793" t="s">
        <v>515</v>
      </c>
      <c r="Z34" s="793" t="s">
        <v>522</v>
      </c>
    </row>
    <row r="35" spans="1:26" ht="18.75">
      <c r="A35" s="1574" t="s">
        <v>400</v>
      </c>
      <c r="B35" s="1575"/>
      <c r="C35" s="1427" t="s">
        <v>143</v>
      </c>
      <c r="D35" s="865">
        <v>0</v>
      </c>
      <c r="E35" s="866">
        <v>17098</v>
      </c>
      <c r="F35" s="866">
        <v>0</v>
      </c>
      <c r="G35" s="866">
        <v>0</v>
      </c>
      <c r="H35" s="1111">
        <v>0</v>
      </c>
      <c r="I35" s="1546" t="s">
        <v>185</v>
      </c>
      <c r="J35" s="1303">
        <f t="shared" si="4"/>
        <v>225879.3</v>
      </c>
      <c r="K35" s="1563"/>
      <c r="L35" s="1195"/>
      <c r="M35" s="865">
        <v>924947</v>
      </c>
      <c r="N35" s="1204">
        <f t="shared" si="5"/>
        <v>-924947</v>
      </c>
      <c r="O35" s="1609" t="s">
        <v>452</v>
      </c>
      <c r="P35" s="1429">
        <v>17098</v>
      </c>
      <c r="Q35" s="1198">
        <f t="shared" si="3"/>
        <v>0</v>
      </c>
      <c r="R35" s="1590"/>
      <c r="S35" s="1200"/>
      <c r="T35" s="921"/>
      <c r="U35" s="793">
        <v>2011</v>
      </c>
      <c r="V35" s="793" t="s">
        <v>505</v>
      </c>
      <c r="W35" s="793" t="s">
        <v>525</v>
      </c>
      <c r="X35" s="793"/>
    </row>
    <row r="36" spans="1:26" ht="18.75">
      <c r="A36" s="1574" t="s">
        <v>324</v>
      </c>
      <c r="B36" s="1575"/>
      <c r="C36" s="1427" t="s">
        <v>137</v>
      </c>
      <c r="D36" s="1428">
        <v>0</v>
      </c>
      <c r="E36" s="1429">
        <v>18065</v>
      </c>
      <c r="F36" s="1429">
        <v>0</v>
      </c>
      <c r="G36" s="1429">
        <v>0</v>
      </c>
      <c r="H36" s="1111">
        <v>0</v>
      </c>
      <c r="I36" s="1546" t="s">
        <v>185</v>
      </c>
      <c r="J36" s="1303">
        <f t="shared" si="4"/>
        <v>238305.25</v>
      </c>
      <c r="K36" s="1563"/>
      <c r="L36" s="1195"/>
      <c r="M36" s="1428">
        <v>0</v>
      </c>
      <c r="N36" s="1204">
        <f t="shared" si="5"/>
        <v>0</v>
      </c>
      <c r="O36" s="1384">
        <v>2016</v>
      </c>
      <c r="P36" s="1429">
        <v>18065</v>
      </c>
      <c r="Q36" s="1527">
        <f t="shared" si="3"/>
        <v>0</v>
      </c>
      <c r="R36" s="1590">
        <f>12.85*Q36</f>
        <v>0</v>
      </c>
      <c r="S36" s="1200"/>
      <c r="T36" s="921"/>
      <c r="U36" s="793">
        <v>2012</v>
      </c>
      <c r="V36" s="793" t="s">
        <v>504</v>
      </c>
      <c r="W36" s="793" t="s">
        <v>524</v>
      </c>
      <c r="X36" s="793"/>
    </row>
    <row r="37" spans="1:26" ht="18.75">
      <c r="A37" s="1574" t="s">
        <v>333</v>
      </c>
      <c r="B37" s="1575"/>
      <c r="C37" s="1427" t="s">
        <v>145</v>
      </c>
      <c r="D37" s="1428">
        <v>0</v>
      </c>
      <c r="E37" s="1429">
        <v>13269</v>
      </c>
      <c r="F37" s="1429">
        <v>0</v>
      </c>
      <c r="G37" s="1429">
        <v>0</v>
      </c>
      <c r="H37" s="1111">
        <v>0</v>
      </c>
      <c r="I37" s="1546" t="s">
        <v>185</v>
      </c>
      <c r="J37" s="1303">
        <f t="shared" si="4"/>
        <v>176676.65</v>
      </c>
      <c r="K37" s="1563"/>
      <c r="L37" s="1195"/>
      <c r="M37" s="1428">
        <v>0</v>
      </c>
      <c r="N37" s="1204">
        <f t="shared" si="5"/>
        <v>0</v>
      </c>
      <c r="O37" s="1384">
        <v>2015</v>
      </c>
      <c r="P37" s="1429">
        <v>13269</v>
      </c>
      <c r="Q37" s="1198">
        <f t="shared" si="3"/>
        <v>0</v>
      </c>
      <c r="R37" s="1590"/>
      <c r="S37" s="1200"/>
      <c r="T37" s="921"/>
      <c r="U37" s="793">
        <v>2013</v>
      </c>
      <c r="V37" s="793" t="s">
        <v>501</v>
      </c>
      <c r="W37" s="793" t="s">
        <v>526</v>
      </c>
      <c r="X37" s="793"/>
    </row>
    <row r="38" spans="1:26" ht="18.75">
      <c r="A38" s="1574" t="s">
        <v>271</v>
      </c>
      <c r="B38" s="1575"/>
      <c r="C38" s="1427" t="s">
        <v>138</v>
      </c>
      <c r="D38" s="1428">
        <v>0</v>
      </c>
      <c r="E38" s="1429">
        <v>1876</v>
      </c>
      <c r="F38" s="1429">
        <v>0</v>
      </c>
      <c r="G38" s="1429">
        <v>0</v>
      </c>
      <c r="H38" s="1111">
        <v>0</v>
      </c>
      <c r="I38" s="1546" t="s">
        <v>185</v>
      </c>
      <c r="J38" s="1303">
        <f t="shared" si="4"/>
        <v>30276.6</v>
      </c>
      <c r="K38" s="1563"/>
      <c r="L38" s="1195"/>
      <c r="M38" s="1428">
        <v>0</v>
      </c>
      <c r="N38" s="1204">
        <f t="shared" si="5"/>
        <v>0</v>
      </c>
      <c r="O38" s="1384">
        <v>2012</v>
      </c>
      <c r="P38" s="1429">
        <v>1876</v>
      </c>
      <c r="Q38" s="1198">
        <f t="shared" si="3"/>
        <v>0</v>
      </c>
      <c r="R38" s="1590"/>
      <c r="S38" s="1200"/>
      <c r="T38" s="921"/>
      <c r="U38" s="793">
        <v>2014</v>
      </c>
      <c r="V38" s="793" t="s">
        <v>502</v>
      </c>
      <c r="W38" s="793" t="s">
        <v>513</v>
      </c>
      <c r="X38" s="793" t="s">
        <v>512</v>
      </c>
    </row>
    <row r="39" spans="1:26" ht="18.75">
      <c r="A39" s="1574" t="s">
        <v>334</v>
      </c>
      <c r="B39" s="1575"/>
      <c r="C39" s="1427" t="s">
        <v>165</v>
      </c>
      <c r="D39" s="1430">
        <v>0</v>
      </c>
      <c r="E39" s="1431">
        <v>11655</v>
      </c>
      <c r="F39" s="1431">
        <v>108.6</v>
      </c>
      <c r="G39" s="1431">
        <v>0</v>
      </c>
      <c r="H39" s="1274">
        <v>0</v>
      </c>
      <c r="I39" s="1546" t="s">
        <v>185</v>
      </c>
      <c r="J39" s="1303">
        <f t="shared" si="4"/>
        <v>155936.75</v>
      </c>
      <c r="K39" s="1563"/>
      <c r="L39" s="1195"/>
      <c r="M39" s="1430">
        <v>0</v>
      </c>
      <c r="N39" s="1204">
        <f t="shared" si="5"/>
        <v>0</v>
      </c>
      <c r="O39" s="1384">
        <v>2017</v>
      </c>
      <c r="P39" s="1431">
        <v>11655</v>
      </c>
      <c r="Q39" s="1527">
        <f>E39-P39</f>
        <v>0</v>
      </c>
      <c r="R39" s="1590">
        <f>12.85*Q39</f>
        <v>0</v>
      </c>
      <c r="S39" s="1200"/>
      <c r="T39" s="921"/>
      <c r="U39" s="793">
        <v>2015</v>
      </c>
      <c r="V39" s="793" t="s">
        <v>509</v>
      </c>
      <c r="W39" s="793"/>
      <c r="X39" s="793"/>
    </row>
    <row r="40" spans="1:26" ht="18.75">
      <c r="A40" s="1574" t="s">
        <v>493</v>
      </c>
      <c r="B40" s="1575"/>
      <c r="C40" s="1427" t="s">
        <v>274</v>
      </c>
      <c r="D40" s="940">
        <v>0</v>
      </c>
      <c r="E40" s="866">
        <v>4342</v>
      </c>
      <c r="F40" s="866">
        <v>0</v>
      </c>
      <c r="G40" s="866">
        <v>0</v>
      </c>
      <c r="H40" s="1274">
        <v>0</v>
      </c>
      <c r="I40" s="1546" t="s">
        <v>185</v>
      </c>
      <c r="J40" s="1303">
        <f t="shared" si="4"/>
        <v>61964.7</v>
      </c>
      <c r="K40" s="1563"/>
      <c r="L40" s="1195"/>
      <c r="M40" s="865">
        <v>0</v>
      </c>
      <c r="N40" s="1204">
        <f t="shared" si="5"/>
        <v>0</v>
      </c>
      <c r="O40" s="1292"/>
      <c r="P40" s="1429">
        <v>4342</v>
      </c>
      <c r="Q40" s="1198">
        <f t="shared" si="3"/>
        <v>0</v>
      </c>
      <c r="R40" s="1590"/>
      <c r="S40" s="1200"/>
      <c r="T40" s="921"/>
      <c r="U40" s="793">
        <v>2016</v>
      </c>
      <c r="V40" s="793" t="s">
        <v>510</v>
      </c>
      <c r="W40" s="793"/>
    </row>
    <row r="41" spans="1:26" ht="18.75">
      <c r="A41" s="1574" t="s">
        <v>494</v>
      </c>
      <c r="B41" s="1575"/>
      <c r="C41" s="1427" t="s">
        <v>217</v>
      </c>
      <c r="D41" s="865">
        <v>10104902</v>
      </c>
      <c r="E41" s="866">
        <v>12752</v>
      </c>
      <c r="F41" s="866">
        <v>203.8</v>
      </c>
      <c r="G41" s="866">
        <v>467.6</v>
      </c>
      <c r="H41" s="1274">
        <f t="shared" ref="H41" si="6">D41/G41</f>
        <v>21610.141146278871</v>
      </c>
      <c r="I41" s="1546" t="s">
        <v>185</v>
      </c>
      <c r="J41" s="1303">
        <f t="shared" si="4"/>
        <v>170033.2</v>
      </c>
      <c r="K41" s="1563"/>
      <c r="L41" s="1195"/>
      <c r="M41" s="865">
        <v>9594365</v>
      </c>
      <c r="N41" s="1204">
        <f t="shared" si="5"/>
        <v>510537</v>
      </c>
      <c r="O41" s="1441">
        <f>N41/M41</f>
        <v>5.3212171936339717E-2</v>
      </c>
      <c r="P41" s="1429">
        <v>12752</v>
      </c>
      <c r="Q41" s="1198">
        <f t="shared" si="3"/>
        <v>0</v>
      </c>
      <c r="R41" s="1590"/>
      <c r="S41" s="1200"/>
      <c r="T41" s="921"/>
      <c r="U41" s="793">
        <v>2017</v>
      </c>
      <c r="V41" s="793" t="s">
        <v>503</v>
      </c>
      <c r="W41" s="793"/>
      <c r="X41" s="793"/>
    </row>
    <row r="42" spans="1:26" ht="18.75">
      <c r="A42" s="1574">
        <v>51</v>
      </c>
      <c r="B42" s="1575"/>
      <c r="C42" s="1427" t="s">
        <v>242</v>
      </c>
      <c r="D42" s="865">
        <v>0</v>
      </c>
      <c r="E42" s="866">
        <v>4293</v>
      </c>
      <c r="F42" s="866">
        <v>0</v>
      </c>
      <c r="G42" s="866">
        <v>0</v>
      </c>
      <c r="H42" s="1260">
        <v>0</v>
      </c>
      <c r="I42" s="1546" t="s">
        <v>185</v>
      </c>
      <c r="J42" s="1303">
        <f t="shared" si="4"/>
        <v>61335.05</v>
      </c>
      <c r="K42" s="1563"/>
      <c r="L42" s="1195"/>
      <c r="M42" s="865">
        <v>0</v>
      </c>
      <c r="N42" s="1204">
        <f t="shared" si="5"/>
        <v>0</v>
      </c>
      <c r="O42" s="1541" t="s">
        <v>477</v>
      </c>
      <c r="P42" s="1429">
        <v>4293</v>
      </c>
      <c r="Q42" s="1198">
        <f t="shared" si="3"/>
        <v>0</v>
      </c>
      <c r="R42" s="1590"/>
      <c r="S42" s="1200"/>
      <c r="T42" s="921"/>
      <c r="U42" s="793">
        <v>2018</v>
      </c>
      <c r="V42" s="793" t="s">
        <v>508</v>
      </c>
      <c r="W42" s="793"/>
      <c r="Z42" s="987" t="s">
        <v>523</v>
      </c>
    </row>
    <row r="43" spans="1:26" ht="18.75">
      <c r="A43" s="1574">
        <v>53</v>
      </c>
      <c r="B43" s="1575"/>
      <c r="C43" s="1427" t="s">
        <v>250</v>
      </c>
      <c r="D43" s="865">
        <v>0</v>
      </c>
      <c r="E43" s="866">
        <v>2308</v>
      </c>
      <c r="F43" s="866">
        <v>0</v>
      </c>
      <c r="G43" s="866">
        <v>0</v>
      </c>
      <c r="H43" s="1260">
        <v>0</v>
      </c>
      <c r="I43" s="1546" t="s">
        <v>185</v>
      </c>
      <c r="J43" s="1303">
        <f t="shared" si="4"/>
        <v>35827.800000000003</v>
      </c>
      <c r="K43" s="1563"/>
      <c r="L43" s="1195"/>
      <c r="M43" s="865">
        <v>0</v>
      </c>
      <c r="N43" s="1204">
        <f t="shared" si="5"/>
        <v>0</v>
      </c>
      <c r="O43" s="1384">
        <v>2014</v>
      </c>
      <c r="P43" s="1429">
        <v>2308</v>
      </c>
      <c r="Q43" s="1198">
        <f>E43-P43</f>
        <v>0</v>
      </c>
      <c r="R43" s="1590"/>
      <c r="S43" s="1200"/>
      <c r="T43" s="921"/>
      <c r="U43" s="793">
        <v>2019</v>
      </c>
      <c r="V43" s="793" t="s">
        <v>507</v>
      </c>
      <c r="W43" s="793" t="s">
        <v>512</v>
      </c>
      <c r="X43" s="793"/>
    </row>
    <row r="44" spans="1:26" ht="18.75">
      <c r="A44" s="1574" t="s">
        <v>346</v>
      </c>
      <c r="B44" s="1575"/>
      <c r="C44" s="1427" t="s">
        <v>275</v>
      </c>
      <c r="D44" s="865">
        <v>0</v>
      </c>
      <c r="E44" s="866">
        <v>3614</v>
      </c>
      <c r="F44" s="866">
        <v>0</v>
      </c>
      <c r="G44" s="866">
        <v>0</v>
      </c>
      <c r="H44" s="1274">
        <v>0</v>
      </c>
      <c r="I44" s="1546" t="s">
        <v>185</v>
      </c>
      <c r="J44" s="1303">
        <f t="shared" si="4"/>
        <v>52609.9</v>
      </c>
      <c r="K44" s="1563"/>
      <c r="L44" s="1195"/>
      <c r="M44" s="865">
        <v>0</v>
      </c>
      <c r="N44" s="1204">
        <f t="shared" si="5"/>
        <v>0</v>
      </c>
      <c r="O44" s="1384">
        <v>2017</v>
      </c>
      <c r="P44" s="1429">
        <v>3614</v>
      </c>
      <c r="Q44" s="1198">
        <f t="shared" ref="Q44:Q45" si="7">E44-P44</f>
        <v>0</v>
      </c>
      <c r="R44" s="1590"/>
      <c r="S44" s="1200"/>
      <c r="T44" s="921"/>
      <c r="U44" s="793">
        <v>2020</v>
      </c>
      <c r="V44" s="793" t="s">
        <v>511</v>
      </c>
      <c r="W44" s="793"/>
    </row>
    <row r="45" spans="1:26" ht="18.75">
      <c r="A45" s="1574">
        <v>56</v>
      </c>
      <c r="B45" s="1584"/>
      <c r="C45" s="1585" t="s">
        <v>309</v>
      </c>
      <c r="D45" s="1275">
        <v>0</v>
      </c>
      <c r="E45" s="1276">
        <v>279</v>
      </c>
      <c r="F45" s="1276">
        <v>0</v>
      </c>
      <c r="G45" s="1276">
        <v>0</v>
      </c>
      <c r="H45" s="1274">
        <v>0</v>
      </c>
      <c r="I45" s="1553" t="s">
        <v>185</v>
      </c>
      <c r="J45" s="1303">
        <f t="shared" si="4"/>
        <v>9755.15</v>
      </c>
      <c r="K45" s="1564"/>
      <c r="L45" s="1232"/>
      <c r="M45" s="1275">
        <v>0</v>
      </c>
      <c r="N45" s="1204">
        <f t="shared" si="5"/>
        <v>0</v>
      </c>
      <c r="O45" s="1384">
        <v>2013</v>
      </c>
      <c r="P45" s="1599">
        <v>279</v>
      </c>
      <c r="Q45" s="1198">
        <f t="shared" si="7"/>
        <v>0</v>
      </c>
      <c r="R45" s="1590"/>
      <c r="S45" s="1200"/>
      <c r="T45" s="921"/>
      <c r="U45" s="793">
        <v>2021</v>
      </c>
      <c r="V45" s="793"/>
      <c r="W45" s="793"/>
      <c r="X45" s="793" t="s">
        <v>517</v>
      </c>
      <c r="Y45" s="987" t="s">
        <v>506</v>
      </c>
    </row>
    <row r="46" spans="1:26" ht="19.5" thickBot="1">
      <c r="A46" s="1574" t="s">
        <v>490</v>
      </c>
      <c r="B46" s="1575"/>
      <c r="C46" s="1427" t="s">
        <v>310</v>
      </c>
      <c r="D46" s="865">
        <v>2954048</v>
      </c>
      <c r="E46" s="866">
        <v>3425</v>
      </c>
      <c r="F46" s="866">
        <v>165.4</v>
      </c>
      <c r="G46" s="1262">
        <v>169.4</v>
      </c>
      <c r="H46" s="1277">
        <f>D46/G46</f>
        <v>17438.299881936244</v>
      </c>
      <c r="I46" s="1551" t="s">
        <v>185</v>
      </c>
      <c r="J46" s="1306">
        <f t="shared" si="4"/>
        <v>50181.25</v>
      </c>
      <c r="K46" s="1563"/>
      <c r="L46" s="1195"/>
      <c r="M46" s="865">
        <v>2663711</v>
      </c>
      <c r="N46" s="1204">
        <f t="shared" si="5"/>
        <v>290337</v>
      </c>
      <c r="O46" s="1441">
        <f t="shared" ref="O46" si="8">N46/M46</f>
        <v>0.10899718475465243</v>
      </c>
      <c r="P46" s="1429">
        <v>3425</v>
      </c>
      <c r="Q46" s="1198">
        <f t="shared" si="3"/>
        <v>0</v>
      </c>
      <c r="R46" s="1590"/>
      <c r="S46" s="1200"/>
      <c r="T46" s="921"/>
      <c r="U46" s="793"/>
      <c r="V46" s="793"/>
      <c r="W46" s="793"/>
      <c r="X46" s="793"/>
    </row>
    <row r="47" spans="1:26" ht="19.5" thickTop="1">
      <c r="A47" s="1576"/>
      <c r="B47" s="1577"/>
      <c r="C47" s="1578" t="s">
        <v>282</v>
      </c>
      <c r="D47" s="899">
        <f>SUM(D34:D46)</f>
        <v>13058950</v>
      </c>
      <c r="E47" s="900">
        <f>ROUND(SUM(E34:E46),2)</f>
        <v>97339</v>
      </c>
      <c r="F47" s="900">
        <f>SUM(F34:F46)</f>
        <v>477.79999999999995</v>
      </c>
      <c r="G47" s="861">
        <f>SUM(G34:G46)</f>
        <v>637</v>
      </c>
      <c r="H47" s="964"/>
      <c r="I47" s="1549" t="s">
        <v>185</v>
      </c>
      <c r="J47" s="1302">
        <f>SUM(J34:J46)</f>
        <v>1331016.1499999999</v>
      </c>
      <c r="K47" s="1562"/>
      <c r="L47" s="1195"/>
      <c r="M47" s="899">
        <f>SUM(M34:M46)</f>
        <v>13183023</v>
      </c>
      <c r="N47" s="1209">
        <f t="shared" si="5"/>
        <v>-124073</v>
      </c>
      <c r="O47" s="1386">
        <f>N47/M47</f>
        <v>-9.4115742648708117E-3</v>
      </c>
      <c r="P47" s="1600">
        <f>ROUND(SUM(P34:P46),2)</f>
        <v>97339</v>
      </c>
      <c r="Q47" s="1198"/>
      <c r="R47" s="1590">
        <f>SUM(R34:R46)</f>
        <v>0</v>
      </c>
      <c r="S47" s="1200"/>
      <c r="T47" s="927"/>
      <c r="U47" s="860"/>
      <c r="V47" s="793"/>
      <c r="W47" s="793"/>
      <c r="X47" s="860"/>
    </row>
    <row r="48" spans="1:26" ht="18.75">
      <c r="A48" s="1571" t="s">
        <v>86</v>
      </c>
      <c r="B48" s="1572"/>
      <c r="C48" s="1573"/>
      <c r="D48" s="1201"/>
      <c r="E48" s="1202"/>
      <c r="F48" s="1202"/>
      <c r="G48" s="1222"/>
      <c r="H48" s="1223"/>
      <c r="I48" s="1552"/>
      <c r="J48" s="1310"/>
      <c r="K48" s="1563"/>
      <c r="L48" s="1195"/>
      <c r="M48" s="1201"/>
      <c r="N48" s="1204"/>
      <c r="O48" s="1272"/>
      <c r="P48" s="1601"/>
      <c r="Q48" s="1198"/>
      <c r="R48" s="1590"/>
      <c r="S48" s="1233">
        <f>SUM(R3:R49)</f>
        <v>-1.2849999999813007</v>
      </c>
      <c r="T48" s="921" t="s">
        <v>359</v>
      </c>
      <c r="U48" s="793"/>
      <c r="V48" s="793"/>
      <c r="W48" s="860"/>
      <c r="X48" s="793"/>
    </row>
    <row r="49" spans="1:24" ht="19.5" thickBot="1">
      <c r="A49" s="1586" t="s">
        <v>403</v>
      </c>
      <c r="B49" s="1587"/>
      <c r="C49" s="1588" t="s">
        <v>139</v>
      </c>
      <c r="D49" s="1261">
        <v>1972073</v>
      </c>
      <c r="E49" s="1262">
        <v>6008.2</v>
      </c>
      <c r="F49" s="1262">
        <v>109</v>
      </c>
      <c r="G49" s="1262">
        <v>115</v>
      </c>
      <c r="H49" s="1270">
        <f>D49/G49</f>
        <v>17148.460869565217</v>
      </c>
      <c r="I49" s="1551" t="s">
        <v>185</v>
      </c>
      <c r="J49" s="1306">
        <f>ROUND(6170+12.85*E49,2)</f>
        <v>83375.37</v>
      </c>
      <c r="K49" s="1563"/>
      <c r="L49" s="1195"/>
      <c r="M49" s="1261">
        <v>2156794</v>
      </c>
      <c r="N49" s="1206">
        <f>D49-M49</f>
        <v>-184721</v>
      </c>
      <c r="O49" s="1377">
        <f>N49/M49</f>
        <v>-8.5646102502139748E-2</v>
      </c>
      <c r="P49" s="1595">
        <v>6008.2</v>
      </c>
      <c r="Q49" s="1592">
        <f t="shared" si="3"/>
        <v>0</v>
      </c>
      <c r="R49" s="1590">
        <f>12.85*Q49</f>
        <v>0</v>
      </c>
      <c r="S49" s="1200"/>
      <c r="T49" s="921"/>
      <c r="U49" s="793"/>
      <c r="V49" s="860"/>
      <c r="W49" s="793"/>
      <c r="X49" s="793"/>
    </row>
    <row r="50" spans="1:24" ht="20.25" thickTop="1" thickBot="1">
      <c r="A50" s="1942" t="s">
        <v>44</v>
      </c>
      <c r="B50" s="1943"/>
      <c r="C50" s="1944"/>
      <c r="D50" s="975">
        <f>SUM(D4,D6,D11,D15,D19,D23,D28,D32,D47,D49)</f>
        <v>19639076</v>
      </c>
      <c r="E50" s="911">
        <f>SUM(E6,E11,E14,E19,E23,E28,E32,E47,E49)</f>
        <v>172851.90000000002</v>
      </c>
      <c r="F50" s="911">
        <f>SUM(F4,F6,F11,F15,F19,F23,F28,F32,F47,F49)</f>
        <v>1223.4099999999999</v>
      </c>
      <c r="G50" s="911">
        <f>SUM(G4,G6,G11,G15,G19,G23,G28,G32,G47,G49)</f>
        <v>1209.3800000000001</v>
      </c>
      <c r="H50" s="976">
        <f>D50/G50</f>
        <v>16238.962112818137</v>
      </c>
      <c r="I50" s="1554" t="s">
        <v>185</v>
      </c>
      <c r="J50" s="1312">
        <f>SUM(J6,J11,J15,J19,J23,J28,J32,J47,J49)</f>
        <v>2387736.9500000002</v>
      </c>
      <c r="K50" s="1563"/>
      <c r="L50" s="1232"/>
      <c r="M50" s="975">
        <f>SUM(M4,M6,M11,M15,M19,M23,M28,M32,M47,M49)</f>
        <v>23306720</v>
      </c>
      <c r="N50" s="1211">
        <f>D50-M50</f>
        <v>-3667644</v>
      </c>
      <c r="O50" s="1361">
        <f>N50/M50</f>
        <v>-0.15736422799947827</v>
      </c>
      <c r="P50" s="911">
        <f>SUM(P4,P6,P11,P15,P19,P23,P28,P32,P47,P49)</f>
        <v>172852</v>
      </c>
      <c r="Q50" s="1592">
        <f t="shared" si="3"/>
        <v>-9.9999999976716936E-2</v>
      </c>
      <c r="R50" s="1590"/>
      <c r="S50" s="1217"/>
      <c r="T50" s="793"/>
      <c r="U50" s="793"/>
      <c r="V50" s="793"/>
      <c r="W50" s="793"/>
      <c r="X50" s="793"/>
    </row>
    <row r="51" spans="1:24" ht="18.75">
      <c r="A51" s="891"/>
      <c r="B51" s="891"/>
      <c r="C51" s="891"/>
      <c r="D51" s="1213"/>
      <c r="E51" s="1212"/>
      <c r="F51" s="1212"/>
      <c r="G51" s="1212"/>
      <c r="H51" s="1213"/>
      <c r="I51" s="1555"/>
      <c r="J51" s="1234"/>
      <c r="K51" s="1214"/>
      <c r="L51" s="1232"/>
      <c r="M51" s="1213"/>
      <c r="N51" s="1217"/>
      <c r="O51" s="1235"/>
      <c r="P51" s="1212"/>
      <c r="Q51" s="1198"/>
      <c r="R51" s="1217"/>
      <c r="S51" s="1217"/>
      <c r="T51" s="793"/>
      <c r="U51" s="793"/>
      <c r="V51" s="793"/>
      <c r="W51" s="793"/>
      <c r="X51" s="793"/>
    </row>
    <row r="52" spans="1:24" ht="18.75">
      <c r="A52" s="891"/>
      <c r="B52" s="891"/>
      <c r="C52" s="891"/>
      <c r="D52" s="1213"/>
      <c r="E52" s="1212"/>
      <c r="F52" s="1212"/>
      <c r="G52" s="1212"/>
      <c r="H52" s="1213"/>
      <c r="I52" s="1555"/>
      <c r="J52" s="1234"/>
      <c r="K52" s="1214"/>
      <c r="L52" s="1232"/>
      <c r="M52" s="1213"/>
      <c r="N52" s="1200"/>
      <c r="O52" s="1197"/>
      <c r="P52" s="1212"/>
      <c r="Q52" s="1198"/>
      <c r="R52" s="1217"/>
      <c r="S52" s="1217"/>
      <c r="T52" s="793"/>
      <c r="U52" s="793"/>
      <c r="V52" s="793"/>
      <c r="W52" s="793"/>
      <c r="X52" s="793"/>
    </row>
    <row r="53" spans="1:24" ht="18.75">
      <c r="A53" s="891"/>
      <c r="B53" s="891"/>
      <c r="C53" s="891"/>
      <c r="D53" s="1213"/>
      <c r="E53" s="1212"/>
      <c r="F53" s="1236" t="s">
        <v>318</v>
      </c>
      <c r="G53" s="1212">
        <f>G50-'SUM 2019'!G50</f>
        <v>-346.3599999999999</v>
      </c>
      <c r="H53" s="1213"/>
      <c r="I53" s="1555"/>
      <c r="J53" s="1234">
        <f>ROUNDUP((27*6170)+(E50*12.85),1)</f>
        <v>2387737</v>
      </c>
      <c r="K53" s="1214"/>
      <c r="L53" s="1232"/>
      <c r="M53" s="1213"/>
      <c r="N53" s="1197"/>
      <c r="O53" s="1197"/>
      <c r="P53" s="1212">
        <f>'SUM 2019'!G50-G50</f>
        <v>346.3599999999999</v>
      </c>
      <c r="Q53" s="1237">
        <f>P53/'SUM 2019'!G50</f>
        <v>0.22263360201576093</v>
      </c>
      <c r="R53" s="1217"/>
      <c r="S53" s="1217"/>
      <c r="T53" s="793"/>
      <c r="U53" s="793"/>
      <c r="V53" s="793"/>
      <c r="W53" s="793"/>
      <c r="X53" s="793"/>
    </row>
    <row r="54" spans="1:24" ht="18.75">
      <c r="A54" s="891"/>
      <c r="B54" s="891"/>
      <c r="C54" s="891"/>
      <c r="D54" s="1213"/>
      <c r="E54" s="1212"/>
      <c r="F54" s="1236" t="s">
        <v>319</v>
      </c>
      <c r="G54" s="1238">
        <f>G53/'SUM 2019'!G50</f>
        <v>-0.22263360201576093</v>
      </c>
      <c r="H54" s="1213"/>
      <c r="I54" s="1555"/>
      <c r="J54" s="1234">
        <f>J53-J50</f>
        <v>4.9999999813735485E-2</v>
      </c>
      <c r="K54" s="1239" t="s">
        <v>283</v>
      </c>
      <c r="L54" s="1232"/>
      <c r="M54" s="1213"/>
      <c r="N54" s="1217"/>
      <c r="O54" s="1197"/>
      <c r="P54" s="1212"/>
      <c r="Q54" s="1198"/>
      <c r="R54" s="1217"/>
      <c r="S54" s="1217"/>
      <c r="T54" s="793"/>
      <c r="U54" s="793"/>
      <c r="V54" s="793"/>
      <c r="W54" s="793"/>
      <c r="X54" s="793"/>
    </row>
    <row r="55" spans="1:24" ht="18.75">
      <c r="A55" s="891"/>
      <c r="B55" s="891"/>
      <c r="C55" s="891"/>
      <c r="D55" s="913">
        <v>23306720</v>
      </c>
      <c r="E55" s="914"/>
      <c r="F55" s="914"/>
      <c r="G55" s="914"/>
      <c r="H55" s="913"/>
      <c r="I55" s="1556"/>
      <c r="J55" s="918">
        <v>2403390.2400000002</v>
      </c>
      <c r="K55" s="920"/>
      <c r="L55" s="891"/>
      <c r="M55" s="913"/>
      <c r="N55" s="793"/>
      <c r="O55" s="912"/>
      <c r="P55" s="914"/>
      <c r="Q55" s="804"/>
      <c r="R55" s="793"/>
      <c r="S55" s="921"/>
      <c r="T55" s="921"/>
      <c r="U55" s="793"/>
      <c r="V55" s="793"/>
      <c r="W55" s="793"/>
      <c r="X55" s="793"/>
    </row>
    <row r="56" spans="1:24" ht="18.75">
      <c r="V56" s="793"/>
      <c r="W56" s="793"/>
    </row>
    <row r="57" spans="1:24" ht="18.75">
      <c r="V57" s="793"/>
    </row>
  </sheetData>
  <mergeCells count="16">
    <mergeCell ref="P1:P2"/>
    <mergeCell ref="Q1:Q2"/>
    <mergeCell ref="R1:R2"/>
    <mergeCell ref="A50:C50"/>
    <mergeCell ref="H1:H2"/>
    <mergeCell ref="I1:J2"/>
    <mergeCell ref="K1:K2"/>
    <mergeCell ref="M1:M2"/>
    <mergeCell ref="N1:N2"/>
    <mergeCell ref="O1:O2"/>
    <mergeCell ref="A1:B2"/>
    <mergeCell ref="C1:C2"/>
    <mergeCell ref="D1:D2"/>
    <mergeCell ref="E1:E2"/>
    <mergeCell ref="F1:F2"/>
    <mergeCell ref="G1:G2"/>
  </mergeCells>
  <printOptions horizontalCentered="1" verticalCentered="1"/>
  <pageMargins left="0.7" right="0.7" top="0.75" bottom="0.75" header="0.3" footer="0.3"/>
  <pageSetup scale="68" orientation="portrait" horizontalDpi="90" verticalDpi="90" r:id="rId1"/>
  <headerFooter>
    <oddHeader>&amp;C&amp;"Arial,Bold"&amp;14Summary of 2020 Annual Coal Production and Acres Bonded, Disturbed, and Mined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010AB-A71A-47E5-A519-81BA972098B7}">
  <sheetPr>
    <pageSetUpPr fitToPage="1"/>
  </sheetPr>
  <dimension ref="A1:AA57"/>
  <sheetViews>
    <sheetView zoomScale="75" zoomScaleNormal="75" workbookViewId="0">
      <pane xSplit="3" ySplit="4" topLeftCell="D5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2.75"/>
  <cols>
    <col min="1" max="1" width="9.7109375" customWidth="1"/>
    <col min="2" max="2" width="3.85546875" customWidth="1"/>
    <col min="3" max="3" width="29.140625" customWidth="1"/>
    <col min="4" max="4" width="15.140625" customWidth="1"/>
    <col min="5" max="7" width="11.7109375" customWidth="1"/>
    <col min="8" max="8" width="14.140625" customWidth="1"/>
    <col min="9" max="9" width="5" style="1557" customWidth="1"/>
    <col min="10" max="10" width="15.5703125" customWidth="1"/>
    <col min="13" max="13" width="15.85546875" customWidth="1"/>
    <col min="14" max="14" width="13.42578125" customWidth="1"/>
    <col min="15" max="15" width="15.85546875" customWidth="1"/>
    <col min="16" max="17" width="14.7109375" customWidth="1"/>
    <col min="18" max="18" width="12.7109375" bestFit="1" customWidth="1"/>
    <col min="19" max="19" width="12.5703125" customWidth="1"/>
  </cols>
  <sheetData>
    <row r="1" spans="1:24" ht="58.5" customHeight="1">
      <c r="A1" s="1959" t="s">
        <v>6</v>
      </c>
      <c r="B1" s="1960"/>
      <c r="C1" s="1963" t="s">
        <v>162</v>
      </c>
      <c r="D1" s="1965" t="s">
        <v>447</v>
      </c>
      <c r="E1" s="1967" t="s">
        <v>289</v>
      </c>
      <c r="F1" s="1967" t="s">
        <v>187</v>
      </c>
      <c r="G1" s="1967" t="s">
        <v>288</v>
      </c>
      <c r="H1" s="1945" t="s">
        <v>238</v>
      </c>
      <c r="I1" s="1947" t="s">
        <v>350</v>
      </c>
      <c r="J1" s="1948"/>
      <c r="K1" s="1951" t="s">
        <v>184</v>
      </c>
      <c r="L1" s="1380" t="s">
        <v>421</v>
      </c>
      <c r="M1" s="1953" t="s">
        <v>420</v>
      </c>
      <c r="N1" s="1955" t="s">
        <v>208</v>
      </c>
      <c r="O1" s="1971" t="s">
        <v>470</v>
      </c>
      <c r="P1" s="1973" t="s">
        <v>448</v>
      </c>
      <c r="Q1" s="1973" t="s">
        <v>449</v>
      </c>
      <c r="R1" s="1969" t="s">
        <v>476</v>
      </c>
      <c r="S1" s="1381" t="s">
        <v>385</v>
      </c>
      <c r="T1" s="1381"/>
      <c r="U1" s="1382"/>
      <c r="V1" s="1382"/>
      <c r="W1" s="1382"/>
      <c r="X1" s="1382"/>
    </row>
    <row r="2" spans="1:24" ht="31.5" customHeight="1" thickBot="1">
      <c r="A2" s="1961"/>
      <c r="B2" s="1962"/>
      <c r="C2" s="1964"/>
      <c r="D2" s="1966"/>
      <c r="E2" s="1968"/>
      <c r="F2" s="1968"/>
      <c r="G2" s="1968"/>
      <c r="H2" s="1946"/>
      <c r="I2" s="1949"/>
      <c r="J2" s="1950"/>
      <c r="K2" s="1952"/>
      <c r="L2" s="1380"/>
      <c r="M2" s="1954"/>
      <c r="N2" s="1956"/>
      <c r="O2" s="1972"/>
      <c r="P2" s="1974"/>
      <c r="Q2" s="1974"/>
      <c r="R2" s="1970"/>
      <c r="S2" s="1381" t="s">
        <v>384</v>
      </c>
      <c r="T2" s="1381"/>
      <c r="U2" s="1382"/>
      <c r="V2" s="1382"/>
      <c r="W2" s="1382"/>
      <c r="X2" s="1382"/>
    </row>
    <row r="3" spans="1:24" ht="18.75" hidden="1" customHeight="1">
      <c r="A3" s="794" t="s">
        <v>412</v>
      </c>
      <c r="B3" s="795"/>
      <c r="C3" s="796"/>
      <c r="D3" s="1240"/>
      <c r="E3" s="1241"/>
      <c r="F3" s="1241"/>
      <c r="G3" s="1241"/>
      <c r="H3" s="1242"/>
      <c r="I3" s="1544"/>
      <c r="J3" s="1301"/>
      <c r="K3" s="1560"/>
      <c r="L3" s="1215"/>
      <c r="M3" s="1245">
        <f>'SUM 2015'!D3</f>
        <v>0</v>
      </c>
      <c r="N3" s="1216"/>
      <c r="O3" s="1531"/>
      <c r="P3" s="1246"/>
      <c r="Q3" s="1198"/>
      <c r="R3" s="1217"/>
      <c r="S3" s="1200"/>
      <c r="T3" s="921"/>
      <c r="U3" s="793"/>
      <c r="V3" s="793"/>
      <c r="W3" s="793"/>
      <c r="X3" s="793"/>
    </row>
    <row r="4" spans="1:24" ht="18.75" hidden="1" customHeight="1">
      <c r="A4" s="805" t="s">
        <v>410</v>
      </c>
      <c r="B4" s="806"/>
      <c r="C4" s="931" t="s">
        <v>125</v>
      </c>
      <c r="D4" s="854">
        <v>0</v>
      </c>
      <c r="E4" s="855">
        <v>0</v>
      </c>
      <c r="F4" s="855">
        <v>0</v>
      </c>
      <c r="G4" s="855">
        <v>0</v>
      </c>
      <c r="H4" s="964">
        <v>0</v>
      </c>
      <c r="I4" s="1545" t="s">
        <v>185</v>
      </c>
      <c r="J4" s="1302">
        <v>0</v>
      </c>
      <c r="K4" s="1560"/>
      <c r="L4" s="1195"/>
      <c r="M4" s="859">
        <f>'SUM 2015'!D4</f>
        <v>0</v>
      </c>
      <c r="N4" s="1196">
        <f>D4-M4</f>
        <v>0</v>
      </c>
      <c r="O4" s="1530">
        <v>2018</v>
      </c>
      <c r="P4" s="861">
        <v>0</v>
      </c>
      <c r="Q4" s="1198">
        <f>E4-P4</f>
        <v>0</v>
      </c>
      <c r="R4" s="793"/>
      <c r="S4" s="1200"/>
      <c r="T4" s="1528"/>
      <c r="U4" s="925" t="s">
        <v>469</v>
      </c>
      <c r="V4" s="793"/>
      <c r="W4" s="793"/>
      <c r="X4" s="793"/>
    </row>
    <row r="5" spans="1:24" ht="18.75">
      <c r="A5" s="815" t="s">
        <v>246</v>
      </c>
      <c r="B5" s="816"/>
      <c r="C5" s="817"/>
      <c r="D5" s="1248"/>
      <c r="E5" s="1249"/>
      <c r="F5" s="1249"/>
      <c r="G5" s="1249"/>
      <c r="H5" s="965"/>
      <c r="I5" s="1546"/>
      <c r="J5" s="1303"/>
      <c r="K5" s="1560"/>
      <c r="L5" s="1195"/>
      <c r="M5" s="1248"/>
      <c r="N5" s="1219"/>
      <c r="O5" s="1272"/>
      <c r="P5" s="1250"/>
      <c r="Q5" s="1198"/>
      <c r="R5" s="1199"/>
      <c r="S5" s="1200"/>
      <c r="T5" s="1383"/>
      <c r="U5" s="1389" t="s">
        <v>432</v>
      </c>
      <c r="V5" s="1390"/>
      <c r="W5" s="1390"/>
      <c r="X5" s="1390"/>
    </row>
    <row r="6" spans="1:24" ht="18.75">
      <c r="A6" s="805" t="s">
        <v>321</v>
      </c>
      <c r="B6" s="826"/>
      <c r="C6" s="931" t="s">
        <v>144</v>
      </c>
      <c r="D6" s="854">
        <v>1638483</v>
      </c>
      <c r="E6" s="855">
        <v>5848</v>
      </c>
      <c r="F6" s="855">
        <v>54</v>
      </c>
      <c r="G6" s="855">
        <v>127.9</v>
      </c>
      <c r="H6" s="1251">
        <f>D6/G6</f>
        <v>12810.656763096169</v>
      </c>
      <c r="I6" s="1545" t="s">
        <v>185</v>
      </c>
      <c r="J6" s="1304">
        <f>ROUND(6170+12.85*E6,2)</f>
        <v>81316.800000000003</v>
      </c>
      <c r="K6" s="1560"/>
      <c r="L6" s="1195"/>
      <c r="M6" s="854">
        <v>2146219</v>
      </c>
      <c r="N6" s="1196">
        <f>D6-M6</f>
        <v>-507736</v>
      </c>
      <c r="O6" s="1387">
        <f>N6/M6</f>
        <v>-0.23657231624545305</v>
      </c>
      <c r="P6" s="855">
        <v>5848</v>
      </c>
      <c r="Q6" s="1527">
        <f>E6-P6</f>
        <v>0</v>
      </c>
      <c r="R6" s="1199"/>
      <c r="S6" s="1200"/>
      <c r="T6" s="1006"/>
      <c r="U6" s="925" t="s">
        <v>427</v>
      </c>
      <c r="V6" s="793"/>
      <c r="W6" s="793"/>
      <c r="X6" s="793"/>
    </row>
    <row r="7" spans="1:24" ht="18.75">
      <c r="A7" s="829" t="s">
        <v>147</v>
      </c>
      <c r="B7" s="830"/>
      <c r="C7" s="831"/>
      <c r="D7" s="1253"/>
      <c r="E7" s="1254"/>
      <c r="F7" s="1254"/>
      <c r="G7" s="1254"/>
      <c r="H7" s="1255"/>
      <c r="I7" s="1547"/>
      <c r="J7" s="1305"/>
      <c r="K7" s="1560"/>
      <c r="L7" s="1195"/>
      <c r="M7" s="1253"/>
      <c r="N7" s="1226"/>
      <c r="O7" s="1272"/>
      <c r="P7" s="1254"/>
      <c r="Q7" s="1198"/>
      <c r="R7" s="1199"/>
      <c r="S7" s="1200"/>
      <c r="T7" s="1007"/>
      <c r="U7" s="925" t="s">
        <v>341</v>
      </c>
      <c r="V7" s="793"/>
      <c r="W7" s="793"/>
      <c r="X7" s="793"/>
    </row>
    <row r="8" spans="1:24" ht="18.75" hidden="1">
      <c r="A8" s="838" t="s">
        <v>223</v>
      </c>
      <c r="B8" s="839"/>
      <c r="C8" s="872" t="s">
        <v>127</v>
      </c>
      <c r="D8" s="865">
        <v>0</v>
      </c>
      <c r="E8" s="866">
        <v>0</v>
      </c>
      <c r="F8" s="866">
        <v>0</v>
      </c>
      <c r="G8" s="866">
        <v>0</v>
      </c>
      <c r="H8" s="1260">
        <v>0</v>
      </c>
      <c r="I8" s="1546" t="s">
        <v>185</v>
      </c>
      <c r="J8" s="1303">
        <v>0</v>
      </c>
      <c r="K8" s="1560"/>
      <c r="L8" s="1195"/>
      <c r="M8" s="865">
        <v>0</v>
      </c>
      <c r="N8" s="1204">
        <f>D8-M8</f>
        <v>0</v>
      </c>
      <c r="O8" s="1529">
        <v>2019</v>
      </c>
      <c r="P8" s="866">
        <v>0</v>
      </c>
      <c r="Q8" s="1198">
        <f>E8-P8</f>
        <v>0</v>
      </c>
      <c r="R8" s="1440"/>
      <c r="S8" s="1200"/>
      <c r="T8" s="1008"/>
      <c r="U8" s="925" t="s">
        <v>342</v>
      </c>
      <c r="V8" s="793"/>
      <c r="W8" s="793"/>
      <c r="X8" s="793"/>
    </row>
    <row r="9" spans="1:24" ht="18.75">
      <c r="A9" s="838" t="s">
        <v>224</v>
      </c>
      <c r="B9" s="839"/>
      <c r="C9" s="872" t="s">
        <v>128</v>
      </c>
      <c r="D9" s="865">
        <v>0</v>
      </c>
      <c r="E9" s="866">
        <v>615.9</v>
      </c>
      <c r="F9" s="866">
        <v>0</v>
      </c>
      <c r="G9" s="866">
        <v>0</v>
      </c>
      <c r="H9" s="965">
        <v>0</v>
      </c>
      <c r="I9" s="1546" t="s">
        <v>185</v>
      </c>
      <c r="J9" s="1303">
        <f>ROUND(6170+12.85*E9,2)</f>
        <v>14084.32</v>
      </c>
      <c r="K9" s="1560"/>
      <c r="L9" s="1195"/>
      <c r="M9" s="865">
        <v>0</v>
      </c>
      <c r="N9" s="1204">
        <f>D9-M9</f>
        <v>0</v>
      </c>
      <c r="O9" s="1384">
        <v>2004</v>
      </c>
      <c r="P9" s="866">
        <v>615.9</v>
      </c>
      <c r="Q9" s="1198">
        <f>E9-P9</f>
        <v>0</v>
      </c>
      <c r="R9" s="1199"/>
      <c r="S9" s="1374"/>
      <c r="T9" s="1009"/>
      <c r="U9" s="925" t="s">
        <v>450</v>
      </c>
      <c r="V9" s="793"/>
      <c r="W9" s="793"/>
      <c r="X9" s="793"/>
    </row>
    <row r="10" spans="1:24" ht="19.5" thickBot="1">
      <c r="A10" s="838" t="s">
        <v>291</v>
      </c>
      <c r="B10" s="839"/>
      <c r="C10" s="872" t="s">
        <v>177</v>
      </c>
      <c r="D10" s="1261">
        <v>0</v>
      </c>
      <c r="E10" s="1262">
        <v>531.9</v>
      </c>
      <c r="F10" s="1262">
        <v>0</v>
      </c>
      <c r="G10" s="1262">
        <v>0</v>
      </c>
      <c r="H10" s="1263">
        <v>0</v>
      </c>
      <c r="I10" s="1548" t="s">
        <v>185</v>
      </c>
      <c r="J10" s="1306">
        <f>ROUND(6170+12.85*E10,2)</f>
        <v>13004.92</v>
      </c>
      <c r="K10" s="1561"/>
      <c r="L10" s="1195"/>
      <c r="M10" s="1261">
        <v>0</v>
      </c>
      <c r="N10" s="1206">
        <f>D10-M10</f>
        <v>0</v>
      </c>
      <c r="O10" s="1384">
        <v>2001</v>
      </c>
      <c r="P10" s="1262">
        <v>531.9</v>
      </c>
      <c r="Q10" s="1198">
        <f>E10-P10</f>
        <v>0</v>
      </c>
      <c r="R10" s="1199"/>
      <c r="S10" s="1200"/>
      <c r="T10" s="1378"/>
      <c r="U10" s="925" t="s">
        <v>451</v>
      </c>
      <c r="V10" s="793"/>
      <c r="W10" s="793"/>
      <c r="X10" s="793"/>
    </row>
    <row r="11" spans="1:24" ht="19.5" thickTop="1">
      <c r="A11" s="851"/>
      <c r="B11" s="852"/>
      <c r="C11" s="853" t="s">
        <v>278</v>
      </c>
      <c r="D11" s="854">
        <f>SUM(D8:D10)</f>
        <v>0</v>
      </c>
      <c r="E11" s="855">
        <f>ROUND(SUM(E8:E10),1)</f>
        <v>1147.8</v>
      </c>
      <c r="F11" s="855">
        <f>SUM(F8:F10)</f>
        <v>0</v>
      </c>
      <c r="G11" s="855">
        <f>SUM(G8:G10)</f>
        <v>0</v>
      </c>
      <c r="H11" s="977">
        <f>SUM(H8:H10)</f>
        <v>0</v>
      </c>
      <c r="I11" s="1549" t="s">
        <v>185</v>
      </c>
      <c r="J11" s="1309">
        <f>SUM(J8:J10)</f>
        <v>27089.239999999998</v>
      </c>
      <c r="K11" s="1561"/>
      <c r="L11" s="1432"/>
      <c r="M11" s="854">
        <f>SUM(M8:M10)</f>
        <v>0</v>
      </c>
      <c r="N11" s="1196">
        <f>D11-M11</f>
        <v>0</v>
      </c>
      <c r="O11" s="1386"/>
      <c r="P11" s="855">
        <f>ROUND(SUM(P8:P10),1)</f>
        <v>1147.8</v>
      </c>
      <c r="Q11" s="1198">
        <f>E11-P11</f>
        <v>0</v>
      </c>
      <c r="R11" s="1199"/>
      <c r="S11" s="1200"/>
      <c r="T11" s="1291"/>
      <c r="U11" s="925" t="s">
        <v>388</v>
      </c>
      <c r="V11" s="860"/>
      <c r="W11" s="860"/>
      <c r="X11" s="860"/>
    </row>
    <row r="12" spans="1:24" ht="18.75">
      <c r="A12" s="815" t="s">
        <v>313</v>
      </c>
      <c r="B12" s="863"/>
      <c r="C12" s="864"/>
      <c r="D12" s="865"/>
      <c r="E12" s="866"/>
      <c r="F12" s="866"/>
      <c r="G12" s="866"/>
      <c r="H12" s="965"/>
      <c r="I12" s="1550"/>
      <c r="J12" s="1307"/>
      <c r="K12" s="1561"/>
      <c r="L12" s="1195"/>
      <c r="M12" s="865"/>
      <c r="N12" s="1204"/>
      <c r="O12" s="1272"/>
      <c r="P12" s="866"/>
      <c r="Q12" s="1198"/>
      <c r="R12" s="1199"/>
      <c r="S12" s="1200"/>
      <c r="T12" s="1534"/>
      <c r="U12" s="1535" t="s">
        <v>472</v>
      </c>
      <c r="V12" s="1533"/>
      <c r="W12" s="1533"/>
      <c r="X12" s="1533"/>
    </row>
    <row r="13" spans="1:24" ht="18.75">
      <c r="A13" s="871">
        <v>57</v>
      </c>
      <c r="B13" s="863"/>
      <c r="C13" s="872" t="s">
        <v>314</v>
      </c>
      <c r="D13" s="865">
        <v>0</v>
      </c>
      <c r="E13" s="866">
        <v>80.8</v>
      </c>
      <c r="F13" s="1265">
        <v>0</v>
      </c>
      <c r="G13" s="1265">
        <v>0</v>
      </c>
      <c r="H13" s="965">
        <v>0</v>
      </c>
      <c r="I13" s="1550" t="s">
        <v>185</v>
      </c>
      <c r="J13" s="1307">
        <f>ROUND(6170+12.85*E13,2)</f>
        <v>7208.28</v>
      </c>
      <c r="K13" s="1562"/>
      <c r="L13" s="1195"/>
      <c r="M13" s="865">
        <v>0</v>
      </c>
      <c r="N13" s="1204">
        <f>D13-M13</f>
        <v>0</v>
      </c>
      <c r="O13" s="1266"/>
      <c r="P13" s="866">
        <v>80.8</v>
      </c>
      <c r="Q13" s="1198">
        <f>E13-P13</f>
        <v>0</v>
      </c>
      <c r="R13" s="1199"/>
      <c r="S13" s="1200"/>
      <c r="T13" s="1536" t="s">
        <v>438</v>
      </c>
      <c r="U13" s="793"/>
      <c r="V13" s="793"/>
      <c r="W13" s="793"/>
      <c r="X13" s="793"/>
    </row>
    <row r="14" spans="1:24" ht="19.5" thickBot="1">
      <c r="A14" s="871">
        <v>59</v>
      </c>
      <c r="B14" s="863"/>
      <c r="C14" s="872" t="s">
        <v>326</v>
      </c>
      <c r="D14" s="1261">
        <v>185718</v>
      </c>
      <c r="E14" s="1262">
        <v>1101</v>
      </c>
      <c r="F14" s="1267">
        <v>53.63</v>
      </c>
      <c r="G14" s="1267">
        <v>34.840000000000003</v>
      </c>
      <c r="H14" s="1268">
        <f>D14/G14</f>
        <v>5330.5970149253726</v>
      </c>
      <c r="I14" s="1548" t="s">
        <v>185</v>
      </c>
      <c r="J14" s="1308">
        <f>ROUND(6170+12.85*E14,2)</f>
        <v>20317.849999999999</v>
      </c>
      <c r="K14" s="1562"/>
      <c r="L14" s="1559"/>
      <c r="M14" s="1261">
        <v>185097</v>
      </c>
      <c r="N14" s="1206">
        <f>D14-M14</f>
        <v>621</v>
      </c>
      <c r="O14" s="1441">
        <f>N14/M14</f>
        <v>3.3549976498808733E-3</v>
      </c>
      <c r="P14" s="1262">
        <v>1101</v>
      </c>
      <c r="Q14" s="1198">
        <f>E14-P14</f>
        <v>0</v>
      </c>
      <c r="R14" s="1199"/>
      <c r="S14" s="1200"/>
      <c r="T14" s="921"/>
      <c r="U14" s="793"/>
      <c r="V14" s="793"/>
      <c r="W14" s="793"/>
      <c r="X14" s="793"/>
    </row>
    <row r="15" spans="1:24" ht="19.5" thickTop="1">
      <c r="A15" s="871"/>
      <c r="B15" s="863"/>
      <c r="C15" s="864" t="s">
        <v>325</v>
      </c>
      <c r="D15" s="870">
        <f>SUM(D13:D14)</f>
        <v>185718</v>
      </c>
      <c r="E15" s="885">
        <f>ROUND(SUM(E13:E14),1)</f>
        <v>1181.8</v>
      </c>
      <c r="F15" s="779">
        <f t="shared" ref="F15:H15" si="0">SUM(F13:F14)</f>
        <v>53.63</v>
      </c>
      <c r="G15" s="779">
        <f t="shared" si="0"/>
        <v>34.840000000000003</v>
      </c>
      <c r="H15" s="1111">
        <f t="shared" si="0"/>
        <v>5330.5970149253726</v>
      </c>
      <c r="I15" s="1547"/>
      <c r="J15" s="1305">
        <f>SUM(J13:J14)</f>
        <v>27526.129999999997</v>
      </c>
      <c r="K15" s="1563"/>
      <c r="L15" s="1195"/>
      <c r="M15" s="870">
        <f>SUM(M13:M14)</f>
        <v>185097</v>
      </c>
      <c r="N15" s="1204">
        <f>SUM(N13:N14)</f>
        <v>621</v>
      </c>
      <c r="O15" s="1386">
        <f>N15/M15</f>
        <v>3.3549976498808733E-3</v>
      </c>
      <c r="P15" s="885">
        <f>ROUND(SUM(P13:P14),1)</f>
        <v>1181.8</v>
      </c>
      <c r="Q15" s="1198"/>
      <c r="R15" s="1199"/>
      <c r="S15" s="1200"/>
      <c r="T15" s="921"/>
      <c r="U15" s="793"/>
      <c r="V15" s="793"/>
      <c r="W15" s="793"/>
      <c r="X15" s="793"/>
    </row>
    <row r="16" spans="1:24" ht="18.75">
      <c r="A16" s="829" t="s">
        <v>180</v>
      </c>
      <c r="B16" s="830"/>
      <c r="C16" s="831"/>
      <c r="D16" s="1253"/>
      <c r="E16" s="1254"/>
      <c r="F16" s="1254"/>
      <c r="G16" s="1254"/>
      <c r="H16" s="1255"/>
      <c r="I16" s="1547"/>
      <c r="J16" s="1305"/>
      <c r="K16" s="1563"/>
      <c r="L16" s="1195"/>
      <c r="M16" s="1253"/>
      <c r="N16" s="1226"/>
      <c r="O16" s="1272"/>
      <c r="P16" s="1254"/>
      <c r="Q16" s="1198"/>
      <c r="R16" s="1199"/>
      <c r="S16" s="1200"/>
      <c r="T16" s="921"/>
      <c r="U16" s="793"/>
      <c r="V16" s="793"/>
      <c r="W16" s="793"/>
      <c r="X16" s="793"/>
    </row>
    <row r="17" spans="1:27" ht="18.75">
      <c r="A17" s="838" t="s">
        <v>399</v>
      </c>
      <c r="B17" s="839"/>
      <c r="C17" s="872" t="s">
        <v>132</v>
      </c>
      <c r="D17" s="865">
        <v>0</v>
      </c>
      <c r="E17" s="866">
        <v>9593.2000000000007</v>
      </c>
      <c r="F17" s="866">
        <v>0</v>
      </c>
      <c r="G17" s="866">
        <v>0</v>
      </c>
      <c r="H17" s="1111">
        <v>0</v>
      </c>
      <c r="I17" s="1546" t="s">
        <v>185</v>
      </c>
      <c r="J17" s="1303">
        <f>ROUND(6170+12.85*E17,2)</f>
        <v>129442.62</v>
      </c>
      <c r="K17" s="1563"/>
      <c r="L17" s="1195"/>
      <c r="M17" s="865">
        <v>0</v>
      </c>
      <c r="N17" s="1204">
        <f>D17-M17</f>
        <v>0</v>
      </c>
      <c r="O17" s="1384" t="s">
        <v>430</v>
      </c>
      <c r="P17" s="866">
        <v>9593.2000000000007</v>
      </c>
      <c r="Q17" s="1198">
        <f>E17-P17</f>
        <v>0</v>
      </c>
      <c r="R17" s="1199"/>
      <c r="S17" s="1200"/>
      <c r="T17" s="921"/>
      <c r="U17" s="793"/>
      <c r="V17" s="793"/>
      <c r="W17" s="793"/>
      <c r="X17" s="793"/>
    </row>
    <row r="18" spans="1:27" ht="19.5" thickBot="1">
      <c r="A18" s="838" t="s">
        <v>253</v>
      </c>
      <c r="B18" s="839"/>
      <c r="C18" s="872" t="s">
        <v>157</v>
      </c>
      <c r="D18" s="1261">
        <v>0</v>
      </c>
      <c r="E18" s="1262">
        <v>3917</v>
      </c>
      <c r="F18" s="1262">
        <v>0</v>
      </c>
      <c r="G18" s="1262">
        <v>0</v>
      </c>
      <c r="H18" s="1270">
        <v>0</v>
      </c>
      <c r="I18" s="1551" t="s">
        <v>185</v>
      </c>
      <c r="J18" s="1306">
        <f>ROUND(6170+12.85*E18,2)</f>
        <v>56503.45</v>
      </c>
      <c r="K18" s="1563"/>
      <c r="L18" s="1195"/>
      <c r="M18" s="1261">
        <v>0</v>
      </c>
      <c r="N18" s="1206">
        <f>D18-M18</f>
        <v>0</v>
      </c>
      <c r="O18" s="1384">
        <v>2015</v>
      </c>
      <c r="P18" s="1262">
        <v>3917</v>
      </c>
      <c r="Q18" s="1198">
        <f t="shared" ref="Q18:Q50" si="1">E18-P18</f>
        <v>0</v>
      </c>
      <c r="R18" s="1199"/>
      <c r="S18" s="1200"/>
      <c r="T18" s="921"/>
      <c r="U18" s="793"/>
      <c r="V18" s="793"/>
      <c r="W18" s="793"/>
      <c r="X18" s="793"/>
    </row>
    <row r="19" spans="1:27" ht="19.5" thickTop="1">
      <c r="A19" s="851"/>
      <c r="B19" s="852"/>
      <c r="C19" s="853" t="s">
        <v>279</v>
      </c>
      <c r="D19" s="859">
        <f>SUM(D17:D18)</f>
        <v>0</v>
      </c>
      <c r="E19" s="861">
        <f>ROUND(SUM(E17:E18),2)</f>
        <v>13510.2</v>
      </c>
      <c r="F19" s="861">
        <f>SUM(F17:F18)</f>
        <v>0</v>
      </c>
      <c r="G19" s="861">
        <f>SUM(G17:G18)</f>
        <v>0</v>
      </c>
      <c r="H19" s="977">
        <f>SUM(H16:H18)</f>
        <v>0</v>
      </c>
      <c r="I19" s="1545" t="s">
        <v>185</v>
      </c>
      <c r="J19" s="1304">
        <f>SUM(J17:J18)</f>
        <v>185946.07</v>
      </c>
      <c r="K19" s="1563"/>
      <c r="L19" s="1195"/>
      <c r="M19" s="859">
        <f>SUM(M17:M18)</f>
        <v>0</v>
      </c>
      <c r="N19" s="1196">
        <f>D19-M19</f>
        <v>0</v>
      </c>
      <c r="O19" s="1272"/>
      <c r="P19" s="861">
        <f>ROUND(SUM(P17:P18),2)</f>
        <v>13510.2</v>
      </c>
      <c r="Q19" s="1198"/>
      <c r="R19" s="1199"/>
      <c r="S19" s="1200"/>
      <c r="T19" s="927"/>
      <c r="U19" s="860"/>
      <c r="V19" s="860"/>
      <c r="W19" s="860"/>
      <c r="X19" s="860"/>
    </row>
    <row r="20" spans="1:27" ht="18.75">
      <c r="A20" s="829" t="s">
        <v>75</v>
      </c>
      <c r="B20" s="830"/>
      <c r="C20" s="831"/>
      <c r="D20" s="1253"/>
      <c r="E20" s="1254"/>
      <c r="F20" s="1254"/>
      <c r="G20" s="1254"/>
      <c r="H20" s="1255"/>
      <c r="I20" s="1547"/>
      <c r="J20" s="1305"/>
      <c r="K20" s="1563"/>
      <c r="L20" s="1195"/>
      <c r="M20" s="1253"/>
      <c r="N20" s="1226"/>
      <c r="O20" s="1272"/>
      <c r="P20" s="1254"/>
      <c r="Q20" s="1198"/>
      <c r="R20" s="1199"/>
      <c r="S20" s="1200"/>
      <c r="T20" s="921"/>
      <c r="U20" s="793"/>
      <c r="V20" s="860">
        <v>29</v>
      </c>
      <c r="W20" s="793" t="s">
        <v>351</v>
      </c>
      <c r="X20" s="793"/>
    </row>
    <row r="21" spans="1:27" ht="18.75">
      <c r="A21" s="838" t="s">
        <v>290</v>
      </c>
      <c r="B21" s="839"/>
      <c r="C21" s="872" t="s">
        <v>216</v>
      </c>
      <c r="D21" s="865">
        <v>1065829</v>
      </c>
      <c r="E21" s="866">
        <v>17322.599999999999</v>
      </c>
      <c r="F21" s="866">
        <v>284.8</v>
      </c>
      <c r="G21" s="866">
        <v>114.6</v>
      </c>
      <c r="H21" s="1111">
        <f>D21/G21</f>
        <v>9300.4275741710298</v>
      </c>
      <c r="I21" s="1546" t="s">
        <v>185</v>
      </c>
      <c r="J21" s="1303">
        <f>ROUND(6170+12.85*E21,2)</f>
        <v>228765.41</v>
      </c>
      <c r="K21" s="1563"/>
      <c r="L21" s="1195"/>
      <c r="M21" s="865">
        <v>1221253</v>
      </c>
      <c r="N21" s="1204">
        <f>D21-M21</f>
        <v>-155424</v>
      </c>
      <c r="O21" s="1377">
        <f>N21/M21</f>
        <v>-0.12726601285728673</v>
      </c>
      <c r="P21" s="866">
        <v>17322.599999999999</v>
      </c>
      <c r="Q21" s="1198">
        <f t="shared" si="1"/>
        <v>0</v>
      </c>
      <c r="R21" s="1199"/>
      <c r="S21" s="1200"/>
      <c r="T21" s="921"/>
      <c r="U21" s="1391" t="s">
        <v>360</v>
      </c>
      <c r="V21" s="1537">
        <v>1</v>
      </c>
      <c r="W21" s="793" t="s">
        <v>473</v>
      </c>
      <c r="X21" s="793"/>
    </row>
    <row r="22" spans="1:27" ht="19.5" thickBot="1">
      <c r="A22" s="838" t="s">
        <v>418</v>
      </c>
      <c r="B22" s="839"/>
      <c r="C22" s="872" t="s">
        <v>293</v>
      </c>
      <c r="D22" s="1261">
        <v>2073093</v>
      </c>
      <c r="E22" s="1262">
        <v>8825</v>
      </c>
      <c r="F22" s="1262">
        <v>271.5</v>
      </c>
      <c r="G22" s="1262">
        <v>226.2</v>
      </c>
      <c r="H22" s="1270">
        <f>D22/G22</f>
        <v>9164.8673740053055</v>
      </c>
      <c r="I22" s="1551" t="s">
        <v>185</v>
      </c>
      <c r="J22" s="1306">
        <f>ROUND(6170+12.85*E22,2)</f>
        <v>119571.25</v>
      </c>
      <c r="K22" s="1563"/>
      <c r="L22" s="1195"/>
      <c r="M22" s="1261">
        <v>2313432</v>
      </c>
      <c r="N22" s="1206">
        <f>D22-M22</f>
        <v>-240339</v>
      </c>
      <c r="O22" s="1377">
        <f>N22/M22</f>
        <v>-0.10388850850165468</v>
      </c>
      <c r="P22" s="1262">
        <v>8825</v>
      </c>
      <c r="Q22" s="1198">
        <f t="shared" si="1"/>
        <v>0</v>
      </c>
      <c r="R22" s="1199"/>
      <c r="S22" s="1200"/>
      <c r="T22" s="921"/>
      <c r="U22" s="793"/>
      <c r="V22" s="1538">
        <f>V20-V21</f>
        <v>28</v>
      </c>
      <c r="W22" s="793" t="s">
        <v>434</v>
      </c>
      <c r="X22" s="793"/>
    </row>
    <row r="23" spans="1:27" ht="19.5" thickTop="1">
      <c r="A23" s="880"/>
      <c r="B23" s="881"/>
      <c r="C23" s="864" t="s">
        <v>294</v>
      </c>
      <c r="D23" s="870">
        <f>SUM(D21:D22)</f>
        <v>3138922</v>
      </c>
      <c r="E23" s="885">
        <f>ROUND(SUM(E21:E22),2)</f>
        <v>26147.599999999999</v>
      </c>
      <c r="F23" s="885">
        <f>SUM(F21:F22)</f>
        <v>556.29999999999995</v>
      </c>
      <c r="G23" s="885">
        <f>SUM(G21:G22)</f>
        <v>340.79999999999995</v>
      </c>
      <c r="H23" s="965">
        <f>SUM(H20:H22)</f>
        <v>18465.294948176335</v>
      </c>
      <c r="I23" s="1546" t="s">
        <v>185</v>
      </c>
      <c r="J23" s="1303">
        <f>SUM(J21:J22)</f>
        <v>348336.66000000003</v>
      </c>
      <c r="K23" s="1563"/>
      <c r="L23" s="1195"/>
      <c r="M23" s="870">
        <f>SUM(M21:M22)</f>
        <v>3534685</v>
      </c>
      <c r="N23" s="1204">
        <f>SUM(N21:N22)</f>
        <v>-395763</v>
      </c>
      <c r="O23" s="1385">
        <f>N23/M23</f>
        <v>-0.11196556411674591</v>
      </c>
      <c r="P23" s="885">
        <f>ROUND(SUM(P21:P22),2)</f>
        <v>26147.599999999999</v>
      </c>
      <c r="Q23" s="1198"/>
      <c r="R23" s="1199"/>
      <c r="S23" s="1200"/>
      <c r="T23" s="927"/>
      <c r="U23" s="1391" t="s">
        <v>360</v>
      </c>
      <c r="V23" s="1537">
        <v>2</v>
      </c>
      <c r="W23" s="793" t="s">
        <v>474</v>
      </c>
      <c r="X23" s="860"/>
      <c r="AA23" s="987"/>
    </row>
    <row r="24" spans="1:27" ht="18.75">
      <c r="A24" s="829" t="s">
        <v>338</v>
      </c>
      <c r="B24" s="830"/>
      <c r="C24" s="831"/>
      <c r="D24" s="1253"/>
      <c r="E24" s="1254"/>
      <c r="F24" s="1254"/>
      <c r="G24" s="1254"/>
      <c r="H24" s="1255"/>
      <c r="I24" s="1547"/>
      <c r="J24" s="1305"/>
      <c r="K24" s="1563"/>
      <c r="L24" s="1195"/>
      <c r="M24" s="1253"/>
      <c r="N24" s="1221"/>
      <c r="O24" s="1272"/>
      <c r="P24" s="1254"/>
      <c r="Q24" s="1198"/>
      <c r="R24" s="1199"/>
      <c r="S24" s="1200"/>
      <c r="T24" s="921"/>
      <c r="U24" s="1391" t="s">
        <v>360</v>
      </c>
      <c r="V24" s="1537">
        <v>14</v>
      </c>
      <c r="W24" s="793" t="s">
        <v>436</v>
      </c>
      <c r="X24" s="793"/>
    </row>
    <row r="25" spans="1:27" ht="18.75">
      <c r="A25" s="838" t="s">
        <v>322</v>
      </c>
      <c r="B25" s="839"/>
      <c r="C25" s="872" t="s">
        <v>151</v>
      </c>
      <c r="D25" s="865">
        <v>700709</v>
      </c>
      <c r="E25" s="866">
        <v>10424.1</v>
      </c>
      <c r="F25" s="1265">
        <v>107.8</v>
      </c>
      <c r="G25" s="1265">
        <v>58.6</v>
      </c>
      <c r="H25" s="1111">
        <f>D25/G25</f>
        <v>11957.491467576792</v>
      </c>
      <c r="I25" s="1546" t="s">
        <v>185</v>
      </c>
      <c r="J25" s="1303">
        <f>ROUND(6170+12.85*E25,2)</f>
        <v>140119.69</v>
      </c>
      <c r="K25" s="1563"/>
      <c r="L25" s="1195"/>
      <c r="M25" s="865">
        <v>1981967</v>
      </c>
      <c r="N25" s="1204">
        <f>D25-M25</f>
        <v>-1281258</v>
      </c>
      <c r="O25" s="1377">
        <f>N25/M25</f>
        <v>-0.6464577866331781</v>
      </c>
      <c r="P25" s="866">
        <v>10424.1</v>
      </c>
      <c r="Q25" s="1198">
        <f t="shared" si="1"/>
        <v>0</v>
      </c>
      <c r="R25" s="1199"/>
      <c r="S25" s="1200"/>
      <c r="T25" s="921"/>
      <c r="U25" s="1391" t="s">
        <v>360</v>
      </c>
      <c r="V25" s="1538">
        <v>1</v>
      </c>
      <c r="W25" s="793" t="s">
        <v>356</v>
      </c>
      <c r="X25" s="793"/>
    </row>
    <row r="26" spans="1:27" ht="18.75">
      <c r="A26" s="838" t="s">
        <v>323</v>
      </c>
      <c r="B26" s="839"/>
      <c r="C26" s="872" t="s">
        <v>244</v>
      </c>
      <c r="D26" s="865">
        <v>0</v>
      </c>
      <c r="E26" s="866">
        <v>3243.9</v>
      </c>
      <c r="F26" s="1265">
        <v>0</v>
      </c>
      <c r="G26" s="1265">
        <v>0</v>
      </c>
      <c r="H26" s="1111">
        <v>0</v>
      </c>
      <c r="I26" s="1546" t="s">
        <v>185</v>
      </c>
      <c r="J26" s="1303">
        <f>ROUND(6170+12.85*E26,2)</f>
        <v>47854.12</v>
      </c>
      <c r="K26" s="1563"/>
      <c r="L26" s="1195"/>
      <c r="M26" s="865">
        <v>195081</v>
      </c>
      <c r="N26" s="1204">
        <f>D26-M26</f>
        <v>-195081</v>
      </c>
      <c r="O26" s="1532" t="s">
        <v>453</v>
      </c>
      <c r="P26" s="866">
        <v>3243.9</v>
      </c>
      <c r="Q26" s="1198">
        <f t="shared" si="1"/>
        <v>0</v>
      </c>
      <c r="R26" s="1199"/>
      <c r="S26" s="1200"/>
      <c r="T26" s="921"/>
      <c r="U26" s="1391" t="s">
        <v>360</v>
      </c>
      <c r="V26" s="1540">
        <v>1</v>
      </c>
      <c r="W26" s="793" t="s">
        <v>475</v>
      </c>
      <c r="X26" s="793"/>
    </row>
    <row r="27" spans="1:27" ht="19.5" thickBot="1">
      <c r="A27" s="838">
        <v>60</v>
      </c>
      <c r="B27" s="839"/>
      <c r="C27" s="872" t="s">
        <v>419</v>
      </c>
      <c r="D27" s="1261">
        <v>2303071</v>
      </c>
      <c r="E27" s="1262">
        <v>1968</v>
      </c>
      <c r="F27" s="1267">
        <v>951.8</v>
      </c>
      <c r="G27" s="1267">
        <v>220.8</v>
      </c>
      <c r="H27" s="1270">
        <f>D27/G27</f>
        <v>10430.57518115942</v>
      </c>
      <c r="I27" s="1551" t="s">
        <v>185</v>
      </c>
      <c r="J27" s="1306">
        <f>ROUND(6170+12.85*E27,2)</f>
        <v>31458.799999999999</v>
      </c>
      <c r="K27" s="1563"/>
      <c r="L27" s="1195"/>
      <c r="M27" s="1261">
        <v>787644</v>
      </c>
      <c r="N27" s="1206">
        <f>D27-M27</f>
        <v>1515427</v>
      </c>
      <c r="O27" s="1442">
        <f t="shared" ref="O27" si="2">N27/M27</f>
        <v>1.9239999289018896</v>
      </c>
      <c r="P27" s="1262">
        <v>1968</v>
      </c>
      <c r="Q27" s="1198">
        <f t="shared" si="1"/>
        <v>0</v>
      </c>
      <c r="R27" s="1199"/>
      <c r="S27" s="1200"/>
      <c r="T27" s="921"/>
      <c r="U27" s="1391"/>
      <c r="V27" s="1537">
        <v>1</v>
      </c>
      <c r="W27" s="793" t="s">
        <v>357</v>
      </c>
      <c r="X27" s="793"/>
    </row>
    <row r="28" spans="1:27" ht="19.5" thickTop="1">
      <c r="A28" s="880"/>
      <c r="B28" s="881"/>
      <c r="C28" s="864" t="s">
        <v>280</v>
      </c>
      <c r="D28" s="870">
        <f>SUM(D25:D27)</f>
        <v>3003780</v>
      </c>
      <c r="E28" s="885">
        <f>ROUND(SUM(E25:E27),2)</f>
        <v>15636</v>
      </c>
      <c r="F28" s="779">
        <f>SUM(F25:F27)</f>
        <v>1059.5999999999999</v>
      </c>
      <c r="G28" s="779">
        <f>SUM(G25:G27)</f>
        <v>279.40000000000003</v>
      </c>
      <c r="H28" s="965"/>
      <c r="I28" s="1546" t="s">
        <v>185</v>
      </c>
      <c r="J28" s="1303">
        <f>SUM(J25:J27)</f>
        <v>219432.61</v>
      </c>
      <c r="K28" s="1563"/>
      <c r="L28" s="1195"/>
      <c r="M28" s="870">
        <f>SUM(M25:M27)</f>
        <v>2964692</v>
      </c>
      <c r="N28" s="1204">
        <f>SUM(N25:N27)</f>
        <v>39088</v>
      </c>
      <c r="O28" s="1386">
        <f>N28/M28</f>
        <v>1.3184506181417834E-2</v>
      </c>
      <c r="P28" s="885">
        <f>ROUND(SUM(P25:P27),2)</f>
        <v>15636</v>
      </c>
      <c r="Q28" s="1198"/>
      <c r="R28" s="1199"/>
      <c r="S28" s="1200"/>
      <c r="T28" s="927"/>
      <c r="U28" s="1107"/>
      <c r="V28" s="1540" cm="1">
        <f t="array" ref="V28">SUM(V22,-V23:V27)</f>
        <v>9</v>
      </c>
      <c r="W28" s="793" t="s">
        <v>471</v>
      </c>
      <c r="X28" s="793"/>
    </row>
    <row r="29" spans="1:27" ht="18.75">
      <c r="A29" s="829" t="s">
        <v>78</v>
      </c>
      <c r="B29" s="830"/>
      <c r="C29" s="831"/>
      <c r="D29" s="1253"/>
      <c r="E29" s="1254"/>
      <c r="F29" s="1254"/>
      <c r="G29" s="1254"/>
      <c r="H29" s="1255"/>
      <c r="I29" s="1547"/>
      <c r="J29" s="1305"/>
      <c r="K29" s="1563"/>
      <c r="L29" s="1195"/>
      <c r="M29" s="1253"/>
      <c r="N29" s="1226"/>
      <c r="O29" s="1272"/>
      <c r="P29" s="1254"/>
      <c r="Q29" s="1198"/>
      <c r="R29" s="1199"/>
      <c r="S29" s="1200"/>
      <c r="T29" s="921"/>
      <c r="U29" s="1108"/>
      <c r="V29" s="1538">
        <v>5</v>
      </c>
      <c r="W29" s="793" t="s">
        <v>354</v>
      </c>
      <c r="X29" s="793"/>
    </row>
    <row r="30" spans="1:27" ht="18.75">
      <c r="A30" s="838" t="s">
        <v>230</v>
      </c>
      <c r="B30" s="839"/>
      <c r="C30" s="872" t="s">
        <v>134</v>
      </c>
      <c r="D30" s="865">
        <v>0</v>
      </c>
      <c r="E30" s="866">
        <v>4976.6000000000004</v>
      </c>
      <c r="F30" s="866">
        <v>0</v>
      </c>
      <c r="G30" s="866">
        <v>0</v>
      </c>
      <c r="H30" s="965">
        <v>0</v>
      </c>
      <c r="I30" s="1546" t="s">
        <v>185</v>
      </c>
      <c r="J30" s="1303">
        <f>ROUND(6170+12.85*E30,2)</f>
        <v>70119.31</v>
      </c>
      <c r="K30" s="1563"/>
      <c r="L30" s="1195"/>
      <c r="M30" s="865">
        <v>0</v>
      </c>
      <c r="N30" s="1204">
        <f>D30-M30</f>
        <v>0</v>
      </c>
      <c r="O30" s="1384" t="s">
        <v>431</v>
      </c>
      <c r="P30" s="866">
        <v>4976.6000000000004</v>
      </c>
      <c r="Q30" s="1198">
        <f t="shared" si="1"/>
        <v>0</v>
      </c>
      <c r="R30" s="1199"/>
      <c r="S30" s="1230"/>
      <c r="T30" s="921"/>
      <c r="U30" s="793"/>
      <c r="V30" s="1538">
        <v>4</v>
      </c>
      <c r="W30" s="793" t="s">
        <v>353</v>
      </c>
      <c r="X30" s="793"/>
    </row>
    <row r="31" spans="1:27" ht="19.5" thickBot="1">
      <c r="A31" s="838" t="s">
        <v>231</v>
      </c>
      <c r="B31" s="839"/>
      <c r="C31" s="872" t="s">
        <v>178</v>
      </c>
      <c r="D31" s="1261">
        <v>0</v>
      </c>
      <c r="E31" s="1262">
        <v>1795.9</v>
      </c>
      <c r="F31" s="1262">
        <v>0</v>
      </c>
      <c r="G31" s="1262">
        <v>0</v>
      </c>
      <c r="H31" s="1268">
        <v>0</v>
      </c>
      <c r="I31" s="1551" t="s">
        <v>185</v>
      </c>
      <c r="J31" s="1306">
        <f>ROUND(6170+12.85*E31,2)</f>
        <v>29247.32</v>
      </c>
      <c r="K31" s="1563"/>
      <c r="L31" s="1195"/>
      <c r="M31" s="1261">
        <v>0</v>
      </c>
      <c r="N31" s="1206">
        <f>D31-M31</f>
        <v>0</v>
      </c>
      <c r="O31" s="1384">
        <v>1996</v>
      </c>
      <c r="P31" s="1262">
        <v>1795.9</v>
      </c>
      <c r="Q31" s="1198">
        <f t="shared" si="1"/>
        <v>0</v>
      </c>
      <c r="R31" s="1199"/>
      <c r="S31" s="1230"/>
      <c r="T31" s="921"/>
      <c r="U31" s="1107"/>
      <c r="V31" s="1539">
        <v>0</v>
      </c>
      <c r="W31" s="793" t="s">
        <v>437</v>
      </c>
      <c r="X31" s="793"/>
    </row>
    <row r="32" spans="1:27" ht="19.5" thickTop="1">
      <c r="A32" s="851"/>
      <c r="B32" s="852"/>
      <c r="C32" s="853" t="s">
        <v>281</v>
      </c>
      <c r="D32" s="859">
        <f>SUM(D30:D31)</f>
        <v>0</v>
      </c>
      <c r="E32" s="861">
        <f>ROUND(SUM(E30:E31),2)</f>
        <v>6772.5</v>
      </c>
      <c r="F32" s="861">
        <f>SUM(F30:F31)</f>
        <v>0</v>
      </c>
      <c r="G32" s="861">
        <f>SUM(G30:G31)</f>
        <v>0</v>
      </c>
      <c r="H32" s="964">
        <v>0</v>
      </c>
      <c r="I32" s="1549" t="s">
        <v>185</v>
      </c>
      <c r="J32" s="1309">
        <f>SUM(J30:J31)</f>
        <v>99366.63</v>
      </c>
      <c r="K32" s="1562"/>
      <c r="L32" s="1195"/>
      <c r="M32" s="859">
        <f>SUM(M30:M31)</f>
        <v>0</v>
      </c>
      <c r="N32" s="1196">
        <f>D32-M32</f>
        <v>0</v>
      </c>
      <c r="O32" s="1386"/>
      <c r="P32" s="861">
        <f>ROUND(SUM(P30:P31),2)</f>
        <v>6772.5</v>
      </c>
      <c r="Q32" s="1198"/>
      <c r="R32" s="1199"/>
      <c r="S32" s="1200"/>
      <c r="T32" s="927"/>
      <c r="U32" s="860"/>
      <c r="X32" s="793"/>
    </row>
    <row r="33" spans="1:24" ht="18.75">
      <c r="A33" s="829" t="s">
        <v>219</v>
      </c>
      <c r="B33" s="830"/>
      <c r="C33" s="831"/>
      <c r="D33" s="1221"/>
      <c r="E33" s="1222"/>
      <c r="F33" s="1222"/>
      <c r="G33" s="1222"/>
      <c r="H33" s="1223"/>
      <c r="I33" s="1552"/>
      <c r="J33" s="1310"/>
      <c r="K33" s="1563"/>
      <c r="L33" s="1195"/>
      <c r="M33" s="1221"/>
      <c r="N33" s="1226"/>
      <c r="O33" s="1272"/>
      <c r="P33" s="1222"/>
      <c r="Q33" s="1198"/>
      <c r="R33" s="1199"/>
      <c r="S33" s="1200"/>
      <c r="T33" s="921"/>
      <c r="U33" s="793"/>
      <c r="X33" s="793"/>
    </row>
    <row r="34" spans="1:24" ht="18.75">
      <c r="A34" s="838" t="s">
        <v>311</v>
      </c>
      <c r="B34" s="839"/>
      <c r="C34" s="872" t="s">
        <v>136</v>
      </c>
      <c r="D34" s="865">
        <v>0</v>
      </c>
      <c r="E34" s="866">
        <v>4364</v>
      </c>
      <c r="F34" s="866">
        <v>0</v>
      </c>
      <c r="G34" s="866">
        <v>0</v>
      </c>
      <c r="H34" s="965">
        <v>0</v>
      </c>
      <c r="I34" s="1546" t="s">
        <v>185</v>
      </c>
      <c r="J34" s="1303">
        <f t="shared" ref="J34:J46" si="3">ROUND(6170+12.85*E34,2)</f>
        <v>62247.4</v>
      </c>
      <c r="K34" s="1563"/>
      <c r="L34" s="1195"/>
      <c r="M34" s="865">
        <v>0</v>
      </c>
      <c r="N34" s="1204">
        <f t="shared" ref="N34:N47" si="4">D34-M34</f>
        <v>0</v>
      </c>
      <c r="O34" s="1384">
        <v>2011</v>
      </c>
      <c r="P34" s="866">
        <v>4364</v>
      </c>
      <c r="Q34" s="1198">
        <f t="shared" si="1"/>
        <v>0</v>
      </c>
      <c r="R34" s="1199"/>
      <c r="S34" s="1200"/>
      <c r="T34" s="921"/>
      <c r="U34" s="793"/>
      <c r="V34" s="793"/>
      <c r="W34" s="793"/>
    </row>
    <row r="35" spans="1:24" ht="18.75">
      <c r="A35" s="838" t="s">
        <v>400</v>
      </c>
      <c r="B35" s="839"/>
      <c r="C35" s="872" t="s">
        <v>143</v>
      </c>
      <c r="D35" s="865">
        <v>924947</v>
      </c>
      <c r="E35" s="866">
        <v>17098</v>
      </c>
      <c r="F35" s="866">
        <v>0</v>
      </c>
      <c r="G35" s="866">
        <v>40.700000000000003</v>
      </c>
      <c r="H35" s="1111">
        <f>D35/G35</f>
        <v>22725.970515970515</v>
      </c>
      <c r="I35" s="1546" t="s">
        <v>185</v>
      </c>
      <c r="J35" s="1303">
        <f t="shared" si="3"/>
        <v>225879.3</v>
      </c>
      <c r="K35" s="1563"/>
      <c r="L35" s="1195"/>
      <c r="M35" s="865">
        <v>2471147</v>
      </c>
      <c r="N35" s="1204">
        <f t="shared" si="4"/>
        <v>-1546200</v>
      </c>
      <c r="O35" s="1526" t="s">
        <v>452</v>
      </c>
      <c r="P35" s="866">
        <v>17098</v>
      </c>
      <c r="Q35" s="1198">
        <f t="shared" si="1"/>
        <v>0</v>
      </c>
      <c r="R35" s="1199"/>
      <c r="S35" s="1200"/>
      <c r="T35" s="921"/>
      <c r="U35" s="793"/>
      <c r="V35" s="793"/>
      <c r="W35" s="793"/>
      <c r="X35" s="793"/>
    </row>
    <row r="36" spans="1:24" ht="18.75">
      <c r="A36" s="838" t="s">
        <v>324</v>
      </c>
      <c r="B36" s="839"/>
      <c r="C36" s="1427" t="s">
        <v>137</v>
      </c>
      <c r="D36" s="1428">
        <v>0</v>
      </c>
      <c r="E36" s="1429">
        <v>18065</v>
      </c>
      <c r="F36" s="1429">
        <v>0</v>
      </c>
      <c r="G36" s="1429">
        <v>0</v>
      </c>
      <c r="H36" s="1111">
        <v>0</v>
      </c>
      <c r="I36" s="1546" t="s">
        <v>185</v>
      </c>
      <c r="J36" s="1303">
        <f t="shared" si="3"/>
        <v>238305.25</v>
      </c>
      <c r="K36" s="1563"/>
      <c r="L36" s="1195"/>
      <c r="M36" s="1428">
        <v>0</v>
      </c>
      <c r="N36" s="1204">
        <f t="shared" si="4"/>
        <v>0</v>
      </c>
      <c r="O36" s="1384">
        <v>2016</v>
      </c>
      <c r="P36" s="1375">
        <v>18065</v>
      </c>
      <c r="Q36" s="1527">
        <f t="shared" si="1"/>
        <v>0</v>
      </c>
      <c r="R36" s="1199">
        <f>12.85*Q36</f>
        <v>0</v>
      </c>
      <c r="S36" s="1200"/>
      <c r="T36" s="921"/>
      <c r="U36" s="793"/>
      <c r="V36" s="793"/>
      <c r="W36" s="793"/>
      <c r="X36" s="793"/>
    </row>
    <row r="37" spans="1:24" ht="18.75">
      <c r="A37" s="838" t="s">
        <v>333</v>
      </c>
      <c r="B37" s="839"/>
      <c r="C37" s="1427" t="s">
        <v>145</v>
      </c>
      <c r="D37" s="1428">
        <v>0</v>
      </c>
      <c r="E37" s="1429">
        <v>13268</v>
      </c>
      <c r="F37" s="1429">
        <v>0</v>
      </c>
      <c r="G37" s="1429">
        <v>0</v>
      </c>
      <c r="H37" s="1111">
        <v>0</v>
      </c>
      <c r="I37" s="1546" t="s">
        <v>185</v>
      </c>
      <c r="J37" s="1303">
        <f t="shared" si="3"/>
        <v>176663.8</v>
      </c>
      <c r="K37" s="1563"/>
      <c r="L37" s="1195"/>
      <c r="M37" s="1428">
        <v>0</v>
      </c>
      <c r="N37" s="1204">
        <f t="shared" si="4"/>
        <v>0</v>
      </c>
      <c r="O37" s="1384">
        <v>2015</v>
      </c>
      <c r="P37" s="866">
        <v>13268</v>
      </c>
      <c r="Q37" s="1198">
        <f t="shared" si="1"/>
        <v>0</v>
      </c>
      <c r="R37" s="1199"/>
      <c r="S37" s="1200"/>
      <c r="T37" s="921"/>
      <c r="U37" s="793"/>
      <c r="V37" s="793"/>
      <c r="W37" s="793"/>
      <c r="X37" s="793"/>
    </row>
    <row r="38" spans="1:24" ht="18.75">
      <c r="A38" s="838" t="s">
        <v>271</v>
      </c>
      <c r="B38" s="839"/>
      <c r="C38" s="1427" t="s">
        <v>138</v>
      </c>
      <c r="D38" s="1428">
        <v>0</v>
      </c>
      <c r="E38" s="1429">
        <v>1876</v>
      </c>
      <c r="F38" s="1429">
        <v>0</v>
      </c>
      <c r="G38" s="1429">
        <v>0</v>
      </c>
      <c r="H38" s="1111">
        <v>0</v>
      </c>
      <c r="I38" s="1546" t="s">
        <v>185</v>
      </c>
      <c r="J38" s="1303">
        <f t="shared" si="3"/>
        <v>30276.6</v>
      </c>
      <c r="K38" s="1563"/>
      <c r="L38" s="1195"/>
      <c r="M38" s="1428">
        <v>0</v>
      </c>
      <c r="N38" s="1204">
        <f t="shared" si="4"/>
        <v>0</v>
      </c>
      <c r="O38" s="1384">
        <v>2012</v>
      </c>
      <c r="P38" s="866">
        <v>1876</v>
      </c>
      <c r="Q38" s="1198">
        <f t="shared" si="1"/>
        <v>0</v>
      </c>
      <c r="R38" s="1199"/>
      <c r="S38" s="1200"/>
      <c r="T38" s="921"/>
      <c r="U38" s="793"/>
      <c r="V38" s="793"/>
      <c r="W38" s="793"/>
      <c r="X38" s="793"/>
    </row>
    <row r="39" spans="1:24" ht="18.75">
      <c r="A39" s="838" t="s">
        <v>334</v>
      </c>
      <c r="B39" s="839"/>
      <c r="C39" s="1427" t="s">
        <v>165</v>
      </c>
      <c r="D39" s="1430">
        <v>0</v>
      </c>
      <c r="E39" s="1431">
        <v>11655</v>
      </c>
      <c r="F39" s="1431">
        <v>41.6</v>
      </c>
      <c r="G39" s="1431">
        <v>0</v>
      </c>
      <c r="H39" s="1274">
        <v>0</v>
      </c>
      <c r="I39" s="1546" t="s">
        <v>185</v>
      </c>
      <c r="J39" s="1303">
        <f t="shared" si="3"/>
        <v>155936.75</v>
      </c>
      <c r="K39" s="1563"/>
      <c r="L39" s="1195"/>
      <c r="M39" s="1430">
        <v>93632</v>
      </c>
      <c r="N39" s="1204">
        <f t="shared" si="4"/>
        <v>-93632</v>
      </c>
      <c r="O39" s="1384">
        <v>2017</v>
      </c>
      <c r="P39" s="1376">
        <v>11655</v>
      </c>
      <c r="Q39" s="1527">
        <f>E39-P39</f>
        <v>0</v>
      </c>
      <c r="R39" s="1199">
        <f>12.85*Q39</f>
        <v>0</v>
      </c>
      <c r="S39" s="1200"/>
      <c r="T39" s="921"/>
      <c r="U39" s="793"/>
      <c r="V39" s="793"/>
      <c r="W39" s="793"/>
      <c r="X39" s="793"/>
    </row>
    <row r="40" spans="1:24" ht="18.75">
      <c r="A40" s="838" t="s">
        <v>401</v>
      </c>
      <c r="B40" s="839"/>
      <c r="C40" s="872" t="s">
        <v>274</v>
      </c>
      <c r="D40" s="865">
        <v>0</v>
      </c>
      <c r="E40" s="866">
        <v>4342</v>
      </c>
      <c r="F40" s="866">
        <v>0</v>
      </c>
      <c r="G40" s="866">
        <v>0</v>
      </c>
      <c r="H40" s="1274">
        <v>0</v>
      </c>
      <c r="I40" s="1546" t="s">
        <v>185</v>
      </c>
      <c r="J40" s="1303">
        <f t="shared" si="3"/>
        <v>61964.7</v>
      </c>
      <c r="K40" s="1563"/>
      <c r="L40" s="1195"/>
      <c r="M40" s="865">
        <v>0</v>
      </c>
      <c r="N40" s="1204">
        <f t="shared" si="4"/>
        <v>0</v>
      </c>
      <c r="O40" s="1292"/>
      <c r="P40" s="866">
        <v>4342</v>
      </c>
      <c r="Q40" s="1198">
        <f t="shared" si="1"/>
        <v>0</v>
      </c>
      <c r="R40" s="1199"/>
      <c r="S40" s="1200"/>
      <c r="T40" s="921"/>
      <c r="U40" s="793"/>
      <c r="V40" s="793"/>
      <c r="W40" s="793"/>
      <c r="X40" s="793"/>
    </row>
    <row r="41" spans="1:24" ht="18.75">
      <c r="A41" s="838" t="s">
        <v>402</v>
      </c>
      <c r="B41" s="839"/>
      <c r="C41" s="872" t="s">
        <v>217</v>
      </c>
      <c r="D41" s="865">
        <v>9594365</v>
      </c>
      <c r="E41" s="866">
        <v>12686</v>
      </c>
      <c r="F41" s="866">
        <v>306.7</v>
      </c>
      <c r="G41" s="866">
        <v>440.5</v>
      </c>
      <c r="H41" s="1274">
        <f t="shared" ref="H41" si="5">D41/G41</f>
        <v>21780.624290578886</v>
      </c>
      <c r="I41" s="1546" t="s">
        <v>185</v>
      </c>
      <c r="J41" s="1303">
        <f t="shared" si="3"/>
        <v>169185.1</v>
      </c>
      <c r="K41" s="1563"/>
      <c r="L41" s="1195"/>
      <c r="M41" s="865">
        <v>8683043</v>
      </c>
      <c r="N41" s="1204">
        <f t="shared" si="4"/>
        <v>911322</v>
      </c>
      <c r="O41" s="1441">
        <f>N41/M41</f>
        <v>0.10495421939059843</v>
      </c>
      <c r="P41" s="866">
        <v>12686</v>
      </c>
      <c r="Q41" s="1198">
        <f t="shared" si="1"/>
        <v>0</v>
      </c>
      <c r="R41" s="1199"/>
      <c r="S41" s="1200"/>
      <c r="T41" s="921"/>
      <c r="U41" s="793"/>
      <c r="V41" s="793"/>
      <c r="W41" s="793"/>
      <c r="X41" s="793"/>
    </row>
    <row r="42" spans="1:24" ht="18.75">
      <c r="A42" s="838">
        <v>51</v>
      </c>
      <c r="B42" s="839"/>
      <c r="C42" s="872" t="s">
        <v>242</v>
      </c>
      <c r="D42" s="865">
        <v>0</v>
      </c>
      <c r="E42" s="866">
        <v>4293</v>
      </c>
      <c r="F42" s="866">
        <v>0</v>
      </c>
      <c r="G42" s="866">
        <v>0</v>
      </c>
      <c r="H42" s="1260">
        <v>0</v>
      </c>
      <c r="I42" s="1546" t="s">
        <v>185</v>
      </c>
      <c r="J42" s="1303">
        <f t="shared" si="3"/>
        <v>61335.05</v>
      </c>
      <c r="K42" s="1563"/>
      <c r="L42" s="1195"/>
      <c r="M42" s="865">
        <v>0</v>
      </c>
      <c r="N42" s="1204">
        <f t="shared" si="4"/>
        <v>0</v>
      </c>
      <c r="O42" s="1541" t="s">
        <v>477</v>
      </c>
      <c r="P42" s="866">
        <v>4293</v>
      </c>
      <c r="Q42" s="1198">
        <f t="shared" si="1"/>
        <v>0</v>
      </c>
      <c r="R42" s="1199"/>
      <c r="S42" s="1200"/>
      <c r="T42" s="921"/>
      <c r="U42" s="793"/>
      <c r="V42" s="793"/>
      <c r="W42" s="793"/>
      <c r="X42" s="793"/>
    </row>
    <row r="43" spans="1:24" ht="18.75">
      <c r="A43" s="838">
        <v>53</v>
      </c>
      <c r="B43" s="839"/>
      <c r="C43" s="872" t="s">
        <v>250</v>
      </c>
      <c r="D43" s="865">
        <v>0</v>
      </c>
      <c r="E43" s="866">
        <v>2308</v>
      </c>
      <c r="F43" s="866">
        <v>0</v>
      </c>
      <c r="G43" s="866">
        <v>0</v>
      </c>
      <c r="H43" s="1260">
        <v>0</v>
      </c>
      <c r="I43" s="1546" t="s">
        <v>185</v>
      </c>
      <c r="J43" s="1303">
        <f t="shared" si="3"/>
        <v>35827.800000000003</v>
      </c>
      <c r="K43" s="1563"/>
      <c r="L43" s="1195"/>
      <c r="M43" s="865">
        <v>0</v>
      </c>
      <c r="N43" s="1204">
        <f t="shared" si="4"/>
        <v>0</v>
      </c>
      <c r="O43" s="1384">
        <v>2014</v>
      </c>
      <c r="P43" s="866">
        <v>2308</v>
      </c>
      <c r="Q43" s="1198">
        <f>E43-P43</f>
        <v>0</v>
      </c>
      <c r="R43" s="1199"/>
      <c r="S43" s="1200"/>
      <c r="T43" s="921"/>
      <c r="U43" s="793"/>
      <c r="V43" s="793"/>
      <c r="W43" s="793"/>
      <c r="X43" s="793"/>
    </row>
    <row r="44" spans="1:24" ht="18.75">
      <c r="A44" s="838" t="s">
        <v>346</v>
      </c>
      <c r="B44" s="839"/>
      <c r="C44" s="872" t="s">
        <v>275</v>
      </c>
      <c r="D44" s="865">
        <v>0</v>
      </c>
      <c r="E44" s="866">
        <v>3615</v>
      </c>
      <c r="F44" s="866">
        <v>7.7</v>
      </c>
      <c r="G44" s="866">
        <v>0</v>
      </c>
      <c r="H44" s="1274">
        <v>0</v>
      </c>
      <c r="I44" s="1546" t="s">
        <v>185</v>
      </c>
      <c r="J44" s="1303">
        <f t="shared" si="3"/>
        <v>52622.75</v>
      </c>
      <c r="K44" s="1563"/>
      <c r="L44" s="1195"/>
      <c r="M44" s="865">
        <v>0</v>
      </c>
      <c r="N44" s="1204">
        <f t="shared" si="4"/>
        <v>0</v>
      </c>
      <c r="O44" s="1384">
        <v>2017</v>
      </c>
      <c r="P44" s="866">
        <v>3615</v>
      </c>
      <c r="Q44" s="1198">
        <f t="shared" ref="Q44:Q45" si="6">E44-P44</f>
        <v>0</v>
      </c>
      <c r="R44" s="1199"/>
      <c r="S44" s="1200"/>
      <c r="T44" s="921"/>
      <c r="U44" s="793"/>
      <c r="V44" s="793"/>
      <c r="W44" s="793"/>
      <c r="X44" s="793"/>
    </row>
    <row r="45" spans="1:24" ht="18.75">
      <c r="A45" s="838">
        <v>56</v>
      </c>
      <c r="B45" s="891"/>
      <c r="C45" s="929" t="s">
        <v>309</v>
      </c>
      <c r="D45" s="1275">
        <v>0</v>
      </c>
      <c r="E45" s="1276">
        <v>279</v>
      </c>
      <c r="F45" s="1276">
        <v>0</v>
      </c>
      <c r="G45" s="1276">
        <v>0</v>
      </c>
      <c r="H45" s="1274">
        <v>0</v>
      </c>
      <c r="I45" s="1553" t="s">
        <v>185</v>
      </c>
      <c r="J45" s="1303">
        <f t="shared" si="3"/>
        <v>9755.15</v>
      </c>
      <c r="K45" s="1564"/>
      <c r="L45" s="1232"/>
      <c r="M45" s="1275">
        <v>0</v>
      </c>
      <c r="N45" s="1204">
        <f t="shared" si="4"/>
        <v>0</v>
      </c>
      <c r="O45" s="1384">
        <v>2013</v>
      </c>
      <c r="P45" s="1276">
        <v>279</v>
      </c>
      <c r="Q45" s="1198">
        <f t="shared" si="6"/>
        <v>0</v>
      </c>
      <c r="R45" s="1199"/>
      <c r="S45" s="1200"/>
      <c r="T45" s="921"/>
      <c r="U45" s="793"/>
      <c r="V45" s="793"/>
      <c r="W45" s="793"/>
      <c r="X45" s="793"/>
    </row>
    <row r="46" spans="1:24" ht="19.5" thickBot="1">
      <c r="A46" s="838">
        <v>58</v>
      </c>
      <c r="B46" s="839"/>
      <c r="C46" s="872" t="s">
        <v>310</v>
      </c>
      <c r="D46" s="865">
        <v>2663711</v>
      </c>
      <c r="E46" s="866">
        <v>3425</v>
      </c>
      <c r="F46" s="866">
        <v>246</v>
      </c>
      <c r="G46" s="1262">
        <v>170.6</v>
      </c>
      <c r="H46" s="1277">
        <f>D46/G46</f>
        <v>15613.780773739743</v>
      </c>
      <c r="I46" s="1551" t="s">
        <v>185</v>
      </c>
      <c r="J46" s="1306">
        <f t="shared" si="3"/>
        <v>50181.25</v>
      </c>
      <c r="K46" s="1563"/>
      <c r="L46" s="1195"/>
      <c r="M46" s="865">
        <v>2734143</v>
      </c>
      <c r="N46" s="1204">
        <f t="shared" si="4"/>
        <v>-70432</v>
      </c>
      <c r="O46" s="1377">
        <f t="shared" ref="O46" si="7">N46/M46</f>
        <v>-2.5760174211809699E-2</v>
      </c>
      <c r="P46" s="866">
        <v>3425</v>
      </c>
      <c r="Q46" s="1198">
        <f t="shared" si="1"/>
        <v>0</v>
      </c>
      <c r="R46" s="1199"/>
      <c r="S46" s="1200"/>
      <c r="T46" s="921"/>
      <c r="U46" s="793"/>
      <c r="V46" s="793"/>
      <c r="W46" s="793"/>
      <c r="X46" s="793"/>
    </row>
    <row r="47" spans="1:24" ht="19.5" thickTop="1">
      <c r="A47" s="851"/>
      <c r="B47" s="852"/>
      <c r="C47" s="853" t="s">
        <v>282</v>
      </c>
      <c r="D47" s="899">
        <f>SUM(D34:D46)</f>
        <v>13183023</v>
      </c>
      <c r="E47" s="900">
        <f>ROUND(SUM(E34:E46),2)</f>
        <v>97274</v>
      </c>
      <c r="F47" s="900">
        <f>SUM(F34:F46)</f>
        <v>602</v>
      </c>
      <c r="G47" s="861">
        <f>SUM(G34:G46)</f>
        <v>651.79999999999995</v>
      </c>
      <c r="H47" s="964"/>
      <c r="I47" s="1549" t="s">
        <v>185</v>
      </c>
      <c r="J47" s="1302">
        <f>SUM(J34:J46)</f>
        <v>1330180.8999999999</v>
      </c>
      <c r="K47" s="1562"/>
      <c r="L47" s="1195"/>
      <c r="M47" s="899">
        <f>SUM(M34:M46)</f>
        <v>13981965</v>
      </c>
      <c r="N47" s="1209">
        <f t="shared" si="4"/>
        <v>-798942</v>
      </c>
      <c r="O47" s="1386">
        <f>N47/M47</f>
        <v>-5.7140895432079827E-2</v>
      </c>
      <c r="P47" s="900">
        <f>ROUND(SUM(P34:P46),2)</f>
        <v>97274</v>
      </c>
      <c r="Q47" s="1198"/>
      <c r="R47" s="1199">
        <f>SUM(R4:R46)</f>
        <v>0</v>
      </c>
      <c r="S47" s="1200"/>
      <c r="T47" s="927"/>
      <c r="U47" s="860"/>
      <c r="V47" s="793"/>
      <c r="W47" s="793"/>
      <c r="X47" s="860"/>
    </row>
    <row r="48" spans="1:24" ht="18.75">
      <c r="A48" s="829" t="s">
        <v>86</v>
      </c>
      <c r="B48" s="830"/>
      <c r="C48" s="831"/>
      <c r="D48" s="1201"/>
      <c r="E48" s="1202"/>
      <c r="F48" s="1202"/>
      <c r="G48" s="1222"/>
      <c r="H48" s="1223"/>
      <c r="I48" s="1552"/>
      <c r="J48" s="1310"/>
      <c r="K48" s="1563"/>
      <c r="L48" s="1195"/>
      <c r="M48" s="1201"/>
      <c r="N48" s="1204"/>
      <c r="O48" s="1272"/>
      <c r="P48" s="1202"/>
      <c r="Q48" s="1198"/>
      <c r="R48" s="1199"/>
      <c r="S48" s="1233">
        <f>SUM(R3:R46)</f>
        <v>0</v>
      </c>
      <c r="T48" s="921" t="s">
        <v>359</v>
      </c>
      <c r="U48" s="793"/>
      <c r="V48" s="793"/>
      <c r="W48" s="860"/>
      <c r="X48" s="793"/>
    </row>
    <row r="49" spans="1:24" ht="19.5" thickBot="1">
      <c r="A49" s="901" t="s">
        <v>403</v>
      </c>
      <c r="B49" s="902"/>
      <c r="C49" s="930" t="s">
        <v>139</v>
      </c>
      <c r="D49" s="1261">
        <v>2156794</v>
      </c>
      <c r="E49" s="1262">
        <v>6072</v>
      </c>
      <c r="F49" s="1262">
        <v>161</v>
      </c>
      <c r="G49" s="1262">
        <v>121</v>
      </c>
      <c r="H49" s="1270">
        <f>D49/G49</f>
        <v>17824.743801652894</v>
      </c>
      <c r="I49" s="1551" t="s">
        <v>185</v>
      </c>
      <c r="J49" s="1306">
        <f>ROUND(6170+12.85*E49,2)</f>
        <v>84195.199999999997</v>
      </c>
      <c r="K49" s="1563"/>
      <c r="L49" s="1195"/>
      <c r="M49" s="1261">
        <v>2030297</v>
      </c>
      <c r="N49" s="1206">
        <f>D49-M49</f>
        <v>126497</v>
      </c>
      <c r="O49" s="1441">
        <f>N49/M49</f>
        <v>6.2304677591505084E-2</v>
      </c>
      <c r="P49" s="1262">
        <v>6072</v>
      </c>
      <c r="Q49" s="1198">
        <f t="shared" si="1"/>
        <v>0</v>
      </c>
      <c r="R49" s="1199">
        <f>SUM(R6:R48)</f>
        <v>0</v>
      </c>
      <c r="S49" s="1200"/>
      <c r="T49" s="921"/>
      <c r="U49" s="793"/>
      <c r="V49" s="860"/>
      <c r="W49" s="793"/>
      <c r="X49" s="793"/>
    </row>
    <row r="50" spans="1:24" ht="20.25" thickTop="1" thickBot="1">
      <c r="A50" s="1942" t="s">
        <v>44</v>
      </c>
      <c r="B50" s="1943"/>
      <c r="C50" s="1944"/>
      <c r="D50" s="975">
        <f>SUM(D4,D6,D11,D15,D19,D23,D28,D32,D47,D49)</f>
        <v>23306720</v>
      </c>
      <c r="E50" s="911">
        <f>SUM(E4,E6,E11,E15,E19,E23,E28,E32,E47,E49)</f>
        <v>173589.9</v>
      </c>
      <c r="F50" s="911">
        <f>SUM(F4,F6,F11,F15,F19,F23,F28,F32,F47,F49)</f>
        <v>2486.5299999999997</v>
      </c>
      <c r="G50" s="911">
        <f>SUM(G4,G6,G11,G15,G19,G23,G28,G32,G47,G49)</f>
        <v>1555.74</v>
      </c>
      <c r="H50" s="976">
        <f>D50/G50</f>
        <v>14981.115096352862</v>
      </c>
      <c r="I50" s="1554" t="s">
        <v>185</v>
      </c>
      <c r="J50" s="1312">
        <f>SUM(J4,J6,J11,J15,J19,J23,J28,J32,J47,J49)</f>
        <v>2403390.2400000002</v>
      </c>
      <c r="K50" s="1563"/>
      <c r="L50" s="1232"/>
      <c r="M50" s="975">
        <f>SUM(M4,M6,M11,M15,M19,M23,M28,M32,M47,M49)</f>
        <v>24842955</v>
      </c>
      <c r="N50" s="1211">
        <f>D50-M50</f>
        <v>-1536235</v>
      </c>
      <c r="O50" s="1361">
        <f>N50/M50</f>
        <v>-6.1837853025133283E-2</v>
      </c>
      <c r="P50" s="911">
        <f>SUM(P4,P6,P11,P15,P19,P23,P28,P32,P47,P49)</f>
        <v>173589.9</v>
      </c>
      <c r="Q50" s="1198">
        <f t="shared" si="1"/>
        <v>0</v>
      </c>
      <c r="R50" s="1197">
        <f>Q50/P50</f>
        <v>0</v>
      </c>
      <c r="S50" s="1217"/>
      <c r="T50" s="793"/>
      <c r="U50" s="793"/>
      <c r="V50" s="793"/>
      <c r="W50" s="793"/>
      <c r="X50" s="793"/>
    </row>
    <row r="51" spans="1:24" ht="18.75">
      <c r="A51" s="891"/>
      <c r="B51" s="891"/>
      <c r="C51" s="891"/>
      <c r="D51" s="1213"/>
      <c r="E51" s="1212"/>
      <c r="F51" s="1212"/>
      <c r="G51" s="1212"/>
      <c r="H51" s="1213"/>
      <c r="I51" s="1555"/>
      <c r="J51" s="1234"/>
      <c r="K51" s="1214"/>
      <c r="L51" s="1232"/>
      <c r="M51" s="1213"/>
      <c r="N51" s="1217"/>
      <c r="O51" s="1235"/>
      <c r="P51" s="1212"/>
      <c r="Q51" s="1198"/>
      <c r="R51" s="1217"/>
      <c r="S51" s="1217"/>
      <c r="T51" s="793"/>
      <c r="U51" s="793"/>
      <c r="V51" s="793"/>
      <c r="W51" s="793"/>
      <c r="X51" s="793"/>
    </row>
    <row r="52" spans="1:24" ht="18.75">
      <c r="A52" s="891"/>
      <c r="B52" s="891"/>
      <c r="C52" s="891"/>
      <c r="D52" s="1213"/>
      <c r="E52" s="1212"/>
      <c r="F52" s="1212"/>
      <c r="G52" s="1212"/>
      <c r="H52" s="1213"/>
      <c r="I52" s="1555"/>
      <c r="J52" s="1234"/>
      <c r="K52" s="1214"/>
      <c r="L52" s="1232"/>
      <c r="M52" s="1213"/>
      <c r="N52" s="1200"/>
      <c r="O52" s="1197"/>
      <c r="P52" s="1212"/>
      <c r="Q52" s="1198"/>
      <c r="R52" s="1217"/>
      <c r="S52" s="1217"/>
      <c r="T52" s="793"/>
      <c r="U52" s="793"/>
      <c r="V52" s="793"/>
      <c r="W52" s="793"/>
      <c r="X52" s="793"/>
    </row>
    <row r="53" spans="1:24" ht="18.75">
      <c r="A53" s="891"/>
      <c r="B53" s="891"/>
      <c r="C53" s="891"/>
      <c r="D53" s="1213"/>
      <c r="E53" s="1212"/>
      <c r="F53" s="1236" t="s">
        <v>318</v>
      </c>
      <c r="G53" s="1212">
        <f>G50-'SUM 2018'!G50</f>
        <v>-158.15999999999985</v>
      </c>
      <c r="H53" s="1213"/>
      <c r="I53" s="1555"/>
      <c r="J53" s="1234">
        <f>ROUNDUP((28*6170)+(E50*12.85),1)</f>
        <v>2403390.3000000003</v>
      </c>
      <c r="K53" s="1214"/>
      <c r="L53" s="1232"/>
      <c r="M53" s="1213"/>
      <c r="N53" s="1197"/>
      <c r="O53" s="1197"/>
      <c r="P53" s="1212">
        <f>'SUM 2018'!G50-G50</f>
        <v>158.15999999999985</v>
      </c>
      <c r="Q53" s="1237">
        <f>P53/'SUM 2018'!G50</f>
        <v>9.2280763171713562E-2</v>
      </c>
      <c r="R53" s="1217"/>
      <c r="S53" s="1217"/>
      <c r="T53" s="793"/>
      <c r="U53" s="793"/>
      <c r="V53" s="793"/>
      <c r="W53" s="793"/>
      <c r="X53" s="793"/>
    </row>
    <row r="54" spans="1:24" ht="18.75">
      <c r="A54" s="891"/>
      <c r="B54" s="891"/>
      <c r="C54" s="891"/>
      <c r="D54" s="1213"/>
      <c r="E54" s="1212"/>
      <c r="F54" s="1236" t="s">
        <v>319</v>
      </c>
      <c r="G54" s="1238">
        <f>G53/'SUM 2018'!G50</f>
        <v>-9.2280763171713562E-2</v>
      </c>
      <c r="H54" s="1213"/>
      <c r="I54" s="1555"/>
      <c r="J54" s="1234">
        <f>J53-J50</f>
        <v>6.0000000055879354E-2</v>
      </c>
      <c r="K54" s="1239" t="s">
        <v>283</v>
      </c>
      <c r="L54" s="1232"/>
      <c r="M54" s="1213"/>
      <c r="N54" s="1217"/>
      <c r="O54" s="1197"/>
      <c r="P54" s="1212"/>
      <c r="Q54" s="1198"/>
      <c r="R54" s="1217"/>
      <c r="S54" s="1217"/>
      <c r="T54" s="793"/>
      <c r="U54" s="793"/>
      <c r="V54" s="793"/>
      <c r="W54" s="793"/>
      <c r="X54" s="793"/>
    </row>
    <row r="55" spans="1:24" ht="18.75">
      <c r="A55" s="891"/>
      <c r="B55" s="891"/>
      <c r="C55" s="891"/>
      <c r="D55" s="913">
        <v>23306720</v>
      </c>
      <c r="E55" s="914"/>
      <c r="F55" s="914"/>
      <c r="G55" s="914"/>
      <c r="H55" s="913"/>
      <c r="I55" s="1556"/>
      <c r="J55" s="918">
        <v>2403390.2400000002</v>
      </c>
      <c r="K55" s="920"/>
      <c r="L55" s="891"/>
      <c r="M55" s="913"/>
      <c r="N55" s="793"/>
      <c r="O55" s="912"/>
      <c r="P55" s="914"/>
      <c r="Q55" s="804"/>
      <c r="R55" s="793"/>
      <c r="S55" s="921"/>
      <c r="T55" s="921"/>
      <c r="U55" s="793"/>
      <c r="V55" s="793"/>
      <c r="W55" s="793"/>
      <c r="X55" s="793"/>
    </row>
    <row r="56" spans="1:24" ht="18.75">
      <c r="V56" s="793"/>
      <c r="W56" s="793"/>
    </row>
    <row r="57" spans="1:24" ht="18.75">
      <c r="V57" s="793"/>
    </row>
  </sheetData>
  <mergeCells count="16">
    <mergeCell ref="A50:C50"/>
    <mergeCell ref="H1:H2"/>
    <mergeCell ref="K1:K2"/>
    <mergeCell ref="A1:B2"/>
    <mergeCell ref="C1:C2"/>
    <mergeCell ref="D1:D2"/>
    <mergeCell ref="E1:E2"/>
    <mergeCell ref="F1:F2"/>
    <mergeCell ref="G1:G2"/>
    <mergeCell ref="I1:J2"/>
    <mergeCell ref="O1:O2"/>
    <mergeCell ref="P1:P2"/>
    <mergeCell ref="Q1:Q2"/>
    <mergeCell ref="R1:R2"/>
    <mergeCell ref="M1:M2"/>
    <mergeCell ref="N1:N2"/>
  </mergeCells>
  <pageMargins left="0.7" right="0.7" top="1.25" bottom="0.5" header="0.3" footer="0.3"/>
  <pageSetup scale="72" orientation="portrait" r:id="rId1"/>
  <headerFooter>
    <oddHeader>&amp;C&amp;"Arial,Bold"&amp;16
Summary of 2019 Annual Coal Production and Acres Bonded, Disturbed, and Mined</oddHeader>
    <oddFooter>&amp;L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212D-40C6-471A-B466-84FA886A04EC}">
  <sheetPr>
    <pageSetUpPr fitToPage="1"/>
  </sheetPr>
  <dimension ref="A1:Y62"/>
  <sheetViews>
    <sheetView zoomScale="75" zoomScaleNormal="75" workbookViewId="0">
      <pane ySplit="2" topLeftCell="A3" activePane="bottomLeft" state="frozen"/>
      <selection activeCell="D9" sqref="D9"/>
      <selection pane="bottomLeft" activeCell="D9" sqref="D9"/>
    </sheetView>
  </sheetViews>
  <sheetFormatPr defaultColWidth="9.140625" defaultRowHeight="18.75"/>
  <cols>
    <col min="1" max="1" width="11.28515625" style="891" customWidth="1"/>
    <col min="2" max="2" width="2.42578125" style="891" customWidth="1"/>
    <col min="3" max="3" width="30" style="891" customWidth="1"/>
    <col min="4" max="4" width="16.85546875" style="913" customWidth="1"/>
    <col min="5" max="5" width="16.85546875" style="914" customWidth="1"/>
    <col min="6" max="6" width="12.42578125" style="914" customWidth="1"/>
    <col min="7" max="7" width="11.5703125" style="914" customWidth="1"/>
    <col min="8" max="8" width="14.85546875" style="913" customWidth="1"/>
    <col min="9" max="9" width="3.140625" style="920" customWidth="1"/>
    <col min="10" max="10" width="15.7109375" style="918" customWidth="1"/>
    <col min="11" max="11" width="0.42578125" style="920" customWidth="1"/>
    <col min="12" max="12" width="6.5703125" style="891" customWidth="1"/>
    <col min="13" max="13" width="16" style="913" customWidth="1"/>
    <col min="14" max="14" width="14" style="793" customWidth="1"/>
    <col min="15" max="15" width="13.5703125" style="912" customWidth="1"/>
    <col min="16" max="16" width="13.85546875" style="914" customWidth="1"/>
    <col min="17" max="17" width="14" style="804" customWidth="1"/>
    <col min="18" max="18" width="12.28515625" style="793" customWidth="1"/>
    <col min="19" max="19" width="18" style="921" customWidth="1"/>
    <col min="20" max="20" width="4.28515625" style="921" customWidth="1"/>
    <col min="21" max="21" width="5.42578125" style="793" customWidth="1"/>
    <col min="22" max="22" width="5.28515625" style="793" customWidth="1"/>
    <col min="23" max="23" width="9.140625" style="793"/>
    <col min="24" max="24" width="14.7109375" style="793" customWidth="1"/>
    <col min="25" max="16384" width="9.140625" style="793"/>
  </cols>
  <sheetData>
    <row r="1" spans="1:25" s="1382" customFormat="1" ht="18.75" customHeight="1">
      <c r="A1" s="1959" t="s">
        <v>6</v>
      </c>
      <c r="B1" s="1960"/>
      <c r="C1" s="1963" t="s">
        <v>162</v>
      </c>
      <c r="D1" s="1965" t="s">
        <v>420</v>
      </c>
      <c r="E1" s="1967" t="s">
        <v>289</v>
      </c>
      <c r="F1" s="1967" t="s">
        <v>187</v>
      </c>
      <c r="G1" s="1967" t="s">
        <v>288</v>
      </c>
      <c r="H1" s="1945" t="s">
        <v>238</v>
      </c>
      <c r="I1" s="1975" t="s">
        <v>184</v>
      </c>
      <c r="J1" s="1948" t="s">
        <v>350</v>
      </c>
      <c r="K1" s="1977" t="s">
        <v>184</v>
      </c>
      <c r="L1" s="1380" t="s">
        <v>421</v>
      </c>
      <c r="M1" s="1953" t="s">
        <v>409</v>
      </c>
      <c r="N1" s="1955" t="s">
        <v>208</v>
      </c>
      <c r="O1" s="1971" t="s">
        <v>299</v>
      </c>
      <c r="P1" s="1973" t="s">
        <v>422</v>
      </c>
      <c r="Q1" s="1973" t="s">
        <v>423</v>
      </c>
      <c r="R1" s="1969" t="s">
        <v>429</v>
      </c>
      <c r="S1" s="1381" t="s">
        <v>385</v>
      </c>
      <c r="T1" s="1381"/>
    </row>
    <row r="2" spans="1:25" s="1382" customFormat="1" ht="36" customHeight="1" thickBot="1">
      <c r="A2" s="1961"/>
      <c r="B2" s="1962"/>
      <c r="C2" s="1964"/>
      <c r="D2" s="1966"/>
      <c r="E2" s="1968"/>
      <c r="F2" s="1968"/>
      <c r="G2" s="1968"/>
      <c r="H2" s="1946"/>
      <c r="I2" s="1976"/>
      <c r="J2" s="1950"/>
      <c r="K2" s="1978"/>
      <c r="L2" s="1380"/>
      <c r="M2" s="1954"/>
      <c r="N2" s="1956"/>
      <c r="O2" s="1971"/>
      <c r="P2" s="1974"/>
      <c r="Q2" s="1974"/>
      <c r="R2" s="1970"/>
      <c r="S2" s="1381" t="s">
        <v>384</v>
      </c>
      <c r="T2" s="1381"/>
    </row>
    <row r="3" spans="1:25" hidden="1">
      <c r="A3" s="794" t="s">
        <v>412</v>
      </c>
      <c r="B3" s="795"/>
      <c r="C3" s="796"/>
      <c r="D3" s="1240"/>
      <c r="E3" s="1241"/>
      <c r="F3" s="1241"/>
      <c r="G3" s="1241"/>
      <c r="H3" s="1242"/>
      <c r="I3" s="1243"/>
      <c r="J3" s="1301"/>
      <c r="K3" s="1244"/>
      <c r="L3" s="1215"/>
      <c r="M3" s="1245">
        <f>'SUM 2015'!D3</f>
        <v>0</v>
      </c>
      <c r="N3" s="1216"/>
      <c r="O3" s="1197"/>
      <c r="P3" s="1246"/>
      <c r="Q3" s="1198"/>
      <c r="R3" s="1217">
        <v>2018</v>
      </c>
      <c r="S3" s="1200"/>
    </row>
    <row r="4" spans="1:25" hidden="1">
      <c r="A4" s="805" t="s">
        <v>410</v>
      </c>
      <c r="B4" s="806"/>
      <c r="C4" s="931" t="s">
        <v>125</v>
      </c>
      <c r="D4" s="854">
        <v>0</v>
      </c>
      <c r="E4" s="855">
        <v>0</v>
      </c>
      <c r="F4" s="855">
        <v>0</v>
      </c>
      <c r="G4" s="855">
        <v>0</v>
      </c>
      <c r="H4" s="964">
        <v>0</v>
      </c>
      <c r="I4" s="1098" t="s">
        <v>185</v>
      </c>
      <c r="J4" s="1302">
        <v>0</v>
      </c>
      <c r="K4" s="1099"/>
      <c r="L4" s="1195"/>
      <c r="M4" s="859">
        <f>'SUM 2015'!D4</f>
        <v>0</v>
      </c>
      <c r="N4" s="1196">
        <f>D4-M4</f>
        <v>0</v>
      </c>
      <c r="O4" s="1388" t="s">
        <v>424</v>
      </c>
      <c r="P4" s="861">
        <v>0</v>
      </c>
      <c r="Q4" s="1198">
        <f>E4-P4</f>
        <v>0</v>
      </c>
      <c r="S4" s="1200"/>
    </row>
    <row r="5" spans="1:25">
      <c r="A5" s="815" t="s">
        <v>246</v>
      </c>
      <c r="B5" s="816"/>
      <c r="C5" s="817"/>
      <c r="D5" s="1248"/>
      <c r="E5" s="1249"/>
      <c r="F5" s="1249"/>
      <c r="G5" s="1249"/>
      <c r="H5" s="965"/>
      <c r="I5" s="1100"/>
      <c r="J5" s="1303"/>
      <c r="K5" s="1101"/>
      <c r="L5" s="1195"/>
      <c r="M5" s="781">
        <f>'SUM 2015'!D5</f>
        <v>0</v>
      </c>
      <c r="N5" s="1219"/>
      <c r="O5" s="1272"/>
      <c r="P5" s="1250"/>
      <c r="Q5" s="1198"/>
      <c r="R5" s="1199"/>
      <c r="S5" s="1200"/>
      <c r="T5" s="1383"/>
      <c r="U5" s="1389" t="s">
        <v>432</v>
      </c>
      <c r="V5" s="1390"/>
      <c r="W5" s="1390"/>
      <c r="X5" s="1390"/>
    </row>
    <row r="6" spans="1:25">
      <c r="A6" s="805" t="s">
        <v>321</v>
      </c>
      <c r="B6" s="826"/>
      <c r="C6" s="931" t="s">
        <v>144</v>
      </c>
      <c r="D6" s="854">
        <v>2146219</v>
      </c>
      <c r="E6" s="855">
        <v>5848</v>
      </c>
      <c r="F6" s="855">
        <v>178.2</v>
      </c>
      <c r="G6" s="855">
        <v>212.6</v>
      </c>
      <c r="H6" s="1251">
        <f>D6/G6</f>
        <v>10095.103480714957</v>
      </c>
      <c r="I6" s="1098" t="s">
        <v>185</v>
      </c>
      <c r="J6" s="1304">
        <f>ROUND(6170+12.85*E6,2)</f>
        <v>81316.800000000003</v>
      </c>
      <c r="K6" s="1099"/>
      <c r="L6" s="1195"/>
      <c r="M6" s="859">
        <f>'SUM 2017'!D6</f>
        <v>2437496</v>
      </c>
      <c r="N6" s="1196">
        <f>D6-M6</f>
        <v>-291277</v>
      </c>
      <c r="O6" s="1387">
        <f>N6/M6</f>
        <v>-0.11949845251028104</v>
      </c>
      <c r="P6" s="855">
        <v>5848</v>
      </c>
      <c r="Q6" s="1220">
        <f>E6-P6</f>
        <v>0</v>
      </c>
      <c r="R6" s="1199"/>
      <c r="S6" s="1200"/>
      <c r="T6" s="1006"/>
      <c r="U6" s="925" t="s">
        <v>427</v>
      </c>
    </row>
    <row r="7" spans="1:25">
      <c r="A7" s="829" t="s">
        <v>147</v>
      </c>
      <c r="B7" s="830"/>
      <c r="C7" s="831"/>
      <c r="D7" s="1253"/>
      <c r="E7" s="1254"/>
      <c r="F7" s="1254"/>
      <c r="G7" s="1254"/>
      <c r="H7" s="1255"/>
      <c r="I7" s="1256"/>
      <c r="J7" s="1305"/>
      <c r="K7" s="1257"/>
      <c r="L7" s="1195"/>
      <c r="M7" s="1258">
        <f>'SUM 2015'!D7</f>
        <v>0</v>
      </c>
      <c r="N7" s="1226"/>
      <c r="O7" s="1272"/>
      <c r="P7" s="1254"/>
      <c r="Q7" s="1198"/>
      <c r="R7" s="1199"/>
      <c r="S7" s="1200"/>
      <c r="T7" s="1007"/>
      <c r="U7" s="925" t="s">
        <v>341</v>
      </c>
    </row>
    <row r="8" spans="1:25">
      <c r="A8" s="838" t="s">
        <v>223</v>
      </c>
      <c r="B8" s="839"/>
      <c r="C8" s="872" t="s">
        <v>127</v>
      </c>
      <c r="D8" s="865">
        <v>0</v>
      </c>
      <c r="E8" s="866">
        <v>2575.1999999999998</v>
      </c>
      <c r="F8" s="866">
        <v>0</v>
      </c>
      <c r="G8" s="866">
        <v>0</v>
      </c>
      <c r="H8" s="1260">
        <v>0</v>
      </c>
      <c r="I8" s="1100" t="s">
        <v>185</v>
      </c>
      <c r="J8" s="1303">
        <f>ROUND(6170+12.85*E8,2)</f>
        <v>39261.32</v>
      </c>
      <c r="K8" s="1101"/>
      <c r="L8" s="1195"/>
      <c r="M8" s="870">
        <f>'SUM 2015'!D8</f>
        <v>0</v>
      </c>
      <c r="N8" s="1204">
        <f>D8-M8</f>
        <v>0</v>
      </c>
      <c r="O8" s="1384" t="s">
        <v>428</v>
      </c>
      <c r="P8" s="866">
        <v>2575.1999999999998</v>
      </c>
      <c r="Q8" s="1198">
        <f>E8-P8</f>
        <v>0</v>
      </c>
      <c r="R8" s="1199"/>
      <c r="S8" s="1200"/>
      <c r="T8" s="1008"/>
      <c r="U8" s="925" t="s">
        <v>342</v>
      </c>
    </row>
    <row r="9" spans="1:25">
      <c r="A9" s="838" t="s">
        <v>224</v>
      </c>
      <c r="B9" s="839"/>
      <c r="C9" s="872" t="s">
        <v>128</v>
      </c>
      <c r="D9" s="865">
        <v>0</v>
      </c>
      <c r="E9" s="866">
        <v>615.9</v>
      </c>
      <c r="F9" s="866">
        <v>0</v>
      </c>
      <c r="G9" s="866">
        <v>0</v>
      </c>
      <c r="H9" s="965">
        <v>0</v>
      </c>
      <c r="I9" s="1100" t="s">
        <v>185</v>
      </c>
      <c r="J9" s="1303">
        <f>ROUND(6170+12.85*E9,2)</f>
        <v>14084.32</v>
      </c>
      <c r="K9" s="1101"/>
      <c r="L9" s="1195"/>
      <c r="M9" s="870">
        <f>'SUM 2015'!D9</f>
        <v>0</v>
      </c>
      <c r="N9" s="1204">
        <f>D9-M9</f>
        <v>0</v>
      </c>
      <c r="O9" s="1384">
        <v>2004</v>
      </c>
      <c r="P9" s="866">
        <v>615.9</v>
      </c>
      <c r="Q9" s="1198">
        <f>E9-P9</f>
        <v>0</v>
      </c>
      <c r="R9" s="1199"/>
      <c r="S9" s="1374"/>
      <c r="T9" s="1009"/>
      <c r="U9" s="925" t="s">
        <v>425</v>
      </c>
    </row>
    <row r="10" spans="1:25" ht="19.5" thickBot="1">
      <c r="A10" s="838" t="s">
        <v>291</v>
      </c>
      <c r="B10" s="839"/>
      <c r="C10" s="872" t="s">
        <v>177</v>
      </c>
      <c r="D10" s="1261">
        <v>0</v>
      </c>
      <c r="E10" s="1262">
        <v>531.9</v>
      </c>
      <c r="F10" s="1262">
        <v>0</v>
      </c>
      <c r="G10" s="1262">
        <v>0</v>
      </c>
      <c r="H10" s="1263">
        <v>0</v>
      </c>
      <c r="I10" s="1092" t="s">
        <v>185</v>
      </c>
      <c r="J10" s="1306">
        <f>ROUND(6170+12.85*E10,2)</f>
        <v>13004.92</v>
      </c>
      <c r="K10" s="1094"/>
      <c r="L10" s="1195"/>
      <c r="M10" s="934">
        <f>'SUM 2015'!D10</f>
        <v>0</v>
      </c>
      <c r="N10" s="1206">
        <f>D10-M10</f>
        <v>0</v>
      </c>
      <c r="O10" s="1384">
        <v>2001</v>
      </c>
      <c r="P10" s="1262">
        <v>531.9</v>
      </c>
      <c r="Q10" s="1198">
        <f>E10-P10</f>
        <v>0</v>
      </c>
      <c r="R10" s="1199"/>
      <c r="S10" s="1200"/>
      <c r="T10" s="1378"/>
      <c r="U10" s="925" t="s">
        <v>426</v>
      </c>
    </row>
    <row r="11" spans="1:25" s="860" customFormat="1" ht="19.5" thickTop="1">
      <c r="A11" s="851"/>
      <c r="B11" s="852"/>
      <c r="C11" s="853" t="s">
        <v>278</v>
      </c>
      <c r="D11" s="854">
        <f>SUM(D8:D10)</f>
        <v>0</v>
      </c>
      <c r="E11" s="855">
        <f>ROUND(SUM(E8:E10),1)</f>
        <v>3723</v>
      </c>
      <c r="F11" s="855">
        <f>SUM(F8:F10)</f>
        <v>0</v>
      </c>
      <c r="G11" s="855">
        <f>SUM(G8:G10)</f>
        <v>0</v>
      </c>
      <c r="H11" s="977">
        <f>SUM(H8:H10)</f>
        <v>0</v>
      </c>
      <c r="I11" s="1087" t="s">
        <v>185</v>
      </c>
      <c r="J11" s="1309">
        <f>SUM(J8:J10)</f>
        <v>66350.559999999998</v>
      </c>
      <c r="K11" s="1088"/>
      <c r="L11" s="1432">
        <v>0.01</v>
      </c>
      <c r="M11" s="859">
        <f>'SUM 2015'!D11</f>
        <v>0</v>
      </c>
      <c r="N11" s="1196">
        <f>D11-M11</f>
        <v>0</v>
      </c>
      <c r="O11" s="1386"/>
      <c r="P11" s="855">
        <f>ROUND(SUM(P8:P10),1)</f>
        <v>3723</v>
      </c>
      <c r="Q11" s="1198">
        <f>E11-P11</f>
        <v>0</v>
      </c>
      <c r="R11" s="1199"/>
      <c r="S11" s="1200"/>
      <c r="T11" s="1291"/>
      <c r="U11" s="925" t="s">
        <v>388</v>
      </c>
      <c r="Y11" s="793"/>
    </row>
    <row r="12" spans="1:25">
      <c r="A12" s="815" t="s">
        <v>313</v>
      </c>
      <c r="B12" s="863"/>
      <c r="C12" s="864"/>
      <c r="D12" s="865"/>
      <c r="E12" s="866"/>
      <c r="F12" s="866"/>
      <c r="G12" s="866"/>
      <c r="H12" s="965"/>
      <c r="I12" s="1089"/>
      <c r="J12" s="1307"/>
      <c r="K12" s="1090"/>
      <c r="L12" s="1195"/>
      <c r="M12" s="870">
        <f>'SUM 2015'!D12</f>
        <v>0</v>
      </c>
      <c r="N12" s="1204"/>
      <c r="O12" s="1272"/>
      <c r="P12" s="866"/>
      <c r="Q12" s="1198"/>
      <c r="R12" s="1199"/>
      <c r="S12" s="1200"/>
      <c r="T12" s="1397" t="s">
        <v>438</v>
      </c>
      <c r="U12" s="1398"/>
      <c r="V12" s="1398"/>
      <c r="W12" s="1398"/>
      <c r="X12" s="1398"/>
      <c r="Y12" s="1398"/>
    </row>
    <row r="13" spans="1:25">
      <c r="A13" s="871">
        <v>57</v>
      </c>
      <c r="B13" s="863"/>
      <c r="C13" s="872" t="s">
        <v>314</v>
      </c>
      <c r="D13" s="865">
        <v>0</v>
      </c>
      <c r="E13" s="866">
        <v>80.8</v>
      </c>
      <c r="F13" s="1265">
        <v>0</v>
      </c>
      <c r="G13" s="1265">
        <v>0</v>
      </c>
      <c r="H13" s="965">
        <v>0</v>
      </c>
      <c r="I13" s="1089" t="s">
        <v>185</v>
      </c>
      <c r="J13" s="1307">
        <f>ROUND(6170+12.85*E13,2)</f>
        <v>7208.28</v>
      </c>
      <c r="K13" s="1203"/>
      <c r="L13" s="1195"/>
      <c r="M13" s="870">
        <f>'SUM 2015'!D13</f>
        <v>0</v>
      </c>
      <c r="N13" s="1204">
        <f>D13-M13</f>
        <v>0</v>
      </c>
      <c r="O13" s="1266"/>
      <c r="P13" s="866">
        <v>80.8</v>
      </c>
      <c r="Q13" s="1198">
        <f>E13-P13</f>
        <v>0</v>
      </c>
      <c r="R13" s="1199"/>
      <c r="S13" s="1200"/>
      <c r="T13" s="927"/>
    </row>
    <row r="14" spans="1:25" ht="19.5" thickBot="1">
      <c r="A14" s="871">
        <v>59</v>
      </c>
      <c r="B14" s="863"/>
      <c r="C14" s="872" t="s">
        <v>326</v>
      </c>
      <c r="D14" s="1261">
        <v>185097</v>
      </c>
      <c r="E14" s="1262">
        <v>1101</v>
      </c>
      <c r="F14" s="1267">
        <v>66.510000000000005</v>
      </c>
      <c r="G14" s="1267">
        <v>37.6</v>
      </c>
      <c r="H14" s="1268">
        <f>D14/G14</f>
        <v>4922.7925531914889</v>
      </c>
      <c r="I14" s="1092" t="s">
        <v>185</v>
      </c>
      <c r="J14" s="1308">
        <f>ROUND(6170+12.85*E14,2)</f>
        <v>20317.849999999999</v>
      </c>
      <c r="K14" s="1205"/>
      <c r="L14" s="1228"/>
      <c r="M14" s="1261">
        <f>'SUM 2017'!D14</f>
        <v>240240</v>
      </c>
      <c r="N14" s="1206">
        <f>D14-M14</f>
        <v>-55143</v>
      </c>
      <c r="O14" s="1377">
        <f>N14/M14</f>
        <v>-0.22953296703296702</v>
      </c>
      <c r="P14" s="1262">
        <v>1101</v>
      </c>
      <c r="Q14" s="1198">
        <f>E14-P14</f>
        <v>0</v>
      </c>
      <c r="R14" s="1199"/>
      <c r="S14" s="1200"/>
    </row>
    <row r="15" spans="1:25" ht="19.5" thickTop="1">
      <c r="A15" s="871"/>
      <c r="B15" s="863"/>
      <c r="C15" s="864" t="s">
        <v>325</v>
      </c>
      <c r="D15" s="870">
        <f>SUM(D13:D14)</f>
        <v>185097</v>
      </c>
      <c r="E15" s="885">
        <f>ROUND(SUM(E13:E14),1)</f>
        <v>1181.8</v>
      </c>
      <c r="F15" s="779">
        <f t="shared" ref="F15:H15" si="0">SUM(F13:F14)</f>
        <v>66.510000000000005</v>
      </c>
      <c r="G15" s="779">
        <f t="shared" si="0"/>
        <v>37.6</v>
      </c>
      <c r="H15" s="1111">
        <f t="shared" si="0"/>
        <v>4922.7925531914889</v>
      </c>
      <c r="I15" s="1256"/>
      <c r="J15" s="1305">
        <f>SUM(J13:J14)</f>
        <v>27526.129999999997</v>
      </c>
      <c r="K15" s="1225"/>
      <c r="L15" s="1195"/>
      <c r="M15" s="899">
        <f>'SUM 2017'!D15</f>
        <v>240240</v>
      </c>
      <c r="N15" s="1204">
        <f>SUM(N13:N14)</f>
        <v>-55143</v>
      </c>
      <c r="O15" s="1386">
        <f>N15/M15</f>
        <v>-0.22953296703296702</v>
      </c>
      <c r="P15" s="885">
        <f>ROUND(SUM(P13:P14),1)</f>
        <v>1181.8</v>
      </c>
      <c r="Q15" s="1198"/>
      <c r="R15" s="1199"/>
      <c r="S15" s="1200"/>
    </row>
    <row r="16" spans="1:25">
      <c r="A16" s="829" t="s">
        <v>180</v>
      </c>
      <c r="B16" s="830"/>
      <c r="C16" s="831"/>
      <c r="D16" s="1253"/>
      <c r="E16" s="1254"/>
      <c r="F16" s="1254"/>
      <c r="G16" s="1254"/>
      <c r="H16" s="1255"/>
      <c r="I16" s="1256"/>
      <c r="J16" s="1305"/>
      <c r="K16" s="1225"/>
      <c r="L16" s="1195"/>
      <c r="M16" s="1258">
        <f>'SUM 2016'!D16</f>
        <v>0</v>
      </c>
      <c r="N16" s="1226"/>
      <c r="O16" s="1272"/>
      <c r="P16" s="1254"/>
      <c r="Q16" s="1198"/>
      <c r="R16" s="1199"/>
      <c r="S16" s="1200"/>
    </row>
    <row r="17" spans="1:24">
      <c r="A17" s="838" t="s">
        <v>399</v>
      </c>
      <c r="B17" s="839"/>
      <c r="C17" s="872" t="s">
        <v>132</v>
      </c>
      <c r="D17" s="865">
        <v>0</v>
      </c>
      <c r="E17" s="866">
        <v>9593.2000000000007</v>
      </c>
      <c r="F17" s="866">
        <v>0</v>
      </c>
      <c r="G17" s="866">
        <v>0</v>
      </c>
      <c r="H17" s="1111">
        <v>0</v>
      </c>
      <c r="I17" s="1100" t="s">
        <v>185</v>
      </c>
      <c r="J17" s="1303">
        <f>ROUND(6170+12.85*E17,2)</f>
        <v>129442.62</v>
      </c>
      <c r="K17" s="1208"/>
      <c r="L17" s="1195"/>
      <c r="M17" s="870">
        <f>'SUM 2017'!D17</f>
        <v>0</v>
      </c>
      <c r="N17" s="1204">
        <f>D17-M17</f>
        <v>0</v>
      </c>
      <c r="O17" s="1384" t="s">
        <v>430</v>
      </c>
      <c r="P17" s="866">
        <v>9593.2000000000007</v>
      </c>
      <c r="Q17" s="1198">
        <f>E17-P17</f>
        <v>0</v>
      </c>
      <c r="R17" s="1199"/>
      <c r="S17" s="1200"/>
    </row>
    <row r="18" spans="1:24" ht="19.5" thickBot="1">
      <c r="A18" s="838" t="s">
        <v>253</v>
      </c>
      <c r="B18" s="839"/>
      <c r="C18" s="872" t="s">
        <v>157</v>
      </c>
      <c r="D18" s="1261">
        <v>0</v>
      </c>
      <c r="E18" s="1262">
        <v>3917</v>
      </c>
      <c r="F18" s="1262">
        <v>72.2</v>
      </c>
      <c r="G18" s="1262">
        <v>0</v>
      </c>
      <c r="H18" s="1270">
        <v>0</v>
      </c>
      <c r="I18" s="1271" t="s">
        <v>185</v>
      </c>
      <c r="J18" s="1306">
        <f>ROUND(6170+12.85*E18,2)</f>
        <v>56503.45</v>
      </c>
      <c r="K18" s="1229"/>
      <c r="L18" s="1195"/>
      <c r="M18" s="934">
        <f>'SUM 2017'!D18</f>
        <v>0</v>
      </c>
      <c r="N18" s="1206">
        <f>D18-M18</f>
        <v>0</v>
      </c>
      <c r="O18" s="1384">
        <v>2015</v>
      </c>
      <c r="P18" s="1262">
        <v>3917</v>
      </c>
      <c r="Q18" s="1198">
        <f t="shared" ref="Q18:Q50" si="1">E18-P18</f>
        <v>0</v>
      </c>
      <c r="R18" s="1199"/>
      <c r="S18" s="1200"/>
    </row>
    <row r="19" spans="1:24" s="860" customFormat="1" ht="19.5" thickTop="1">
      <c r="A19" s="851"/>
      <c r="B19" s="852"/>
      <c r="C19" s="853" t="s">
        <v>279</v>
      </c>
      <c r="D19" s="859">
        <f>SUM(D17:D18)</f>
        <v>0</v>
      </c>
      <c r="E19" s="861">
        <f>ROUND(SUM(E17:E18),2)</f>
        <v>13510.2</v>
      </c>
      <c r="F19" s="861">
        <f>SUM(F17:F18)</f>
        <v>72.2</v>
      </c>
      <c r="G19" s="861">
        <f>SUM(G17:G18)</f>
        <v>0</v>
      </c>
      <c r="H19" s="977">
        <f>SUM(H16:H18)</f>
        <v>0</v>
      </c>
      <c r="I19" s="1098" t="s">
        <v>185</v>
      </c>
      <c r="J19" s="1304">
        <f>SUM(J17:J18)</f>
        <v>185946.07</v>
      </c>
      <c r="K19" s="1207"/>
      <c r="L19" s="1195"/>
      <c r="M19" s="859">
        <f>'SUM 2017'!D19</f>
        <v>0</v>
      </c>
      <c r="N19" s="1196">
        <f>D19-M19</f>
        <v>0</v>
      </c>
      <c r="O19" s="1272"/>
      <c r="P19" s="861">
        <f>ROUND(SUM(P17:P18),2)</f>
        <v>13510.2</v>
      </c>
      <c r="Q19" s="1198"/>
      <c r="R19" s="1199"/>
      <c r="S19" s="1200"/>
      <c r="T19" s="927"/>
    </row>
    <row r="20" spans="1:24">
      <c r="A20" s="829" t="s">
        <v>75</v>
      </c>
      <c r="B20" s="830"/>
      <c r="C20" s="831"/>
      <c r="D20" s="1253"/>
      <c r="E20" s="1254"/>
      <c r="F20" s="1254"/>
      <c r="G20" s="1254"/>
      <c r="H20" s="1255"/>
      <c r="I20" s="1256"/>
      <c r="J20" s="1305"/>
      <c r="K20" s="1225"/>
      <c r="L20" s="1195"/>
      <c r="M20" s="1258">
        <f>'SUM 2016'!D20</f>
        <v>0</v>
      </c>
      <c r="N20" s="1226"/>
      <c r="O20" s="1272"/>
      <c r="P20" s="1254"/>
      <c r="Q20" s="1198"/>
      <c r="R20" s="1199"/>
      <c r="S20" s="1200"/>
      <c r="V20" s="860">
        <v>30</v>
      </c>
      <c r="W20" s="793" t="s">
        <v>351</v>
      </c>
    </row>
    <row r="21" spans="1:24">
      <c r="A21" s="838" t="s">
        <v>290</v>
      </c>
      <c r="B21" s="839"/>
      <c r="C21" s="872" t="s">
        <v>216</v>
      </c>
      <c r="D21" s="865">
        <v>1221253</v>
      </c>
      <c r="E21" s="866">
        <v>16299.9</v>
      </c>
      <c r="F21" s="866">
        <v>110.5</v>
      </c>
      <c r="G21" s="866">
        <v>134.6</v>
      </c>
      <c r="H21" s="1111">
        <f>D21/G21</f>
        <v>9073.202080237741</v>
      </c>
      <c r="I21" s="1100" t="s">
        <v>185</v>
      </c>
      <c r="J21" s="1303">
        <f>ROUND(6170+12.85*E21,2)</f>
        <v>215623.72</v>
      </c>
      <c r="K21" s="1208"/>
      <c r="L21" s="1195"/>
      <c r="M21" s="870">
        <f>'SUM 2017'!D21</f>
        <v>1312181</v>
      </c>
      <c r="N21" s="1204">
        <f>D21-M21</f>
        <v>-90928</v>
      </c>
      <c r="O21" s="1377">
        <f>N21/M21</f>
        <v>-6.9295318252588625E-2</v>
      </c>
      <c r="P21" s="866">
        <v>16299.9</v>
      </c>
      <c r="Q21" s="1198">
        <f t="shared" si="1"/>
        <v>0</v>
      </c>
      <c r="R21" s="1199"/>
      <c r="S21" s="1200"/>
      <c r="U21" s="1391" t="s">
        <v>360</v>
      </c>
      <c r="V21" s="1394">
        <v>1</v>
      </c>
      <c r="W21" s="793" t="s">
        <v>433</v>
      </c>
    </row>
    <row r="22" spans="1:24" ht="19.5" thickBot="1">
      <c r="A22" s="838" t="s">
        <v>418</v>
      </c>
      <c r="B22" s="839"/>
      <c r="C22" s="872" t="s">
        <v>293</v>
      </c>
      <c r="D22" s="1261">
        <v>2313432</v>
      </c>
      <c r="E22" s="1262">
        <v>8825</v>
      </c>
      <c r="F22" s="1262">
        <v>414.6</v>
      </c>
      <c r="G22" s="1262">
        <v>230.4</v>
      </c>
      <c r="H22" s="1270">
        <f>D22/G22</f>
        <v>10040.9375</v>
      </c>
      <c r="I22" s="1271" t="s">
        <v>185</v>
      </c>
      <c r="J22" s="1306">
        <f>ROUND(6170+12.85*E22,2)</f>
        <v>119571.25</v>
      </c>
      <c r="K22" s="1229"/>
      <c r="L22" s="1195"/>
      <c r="M22" s="934">
        <f>'SUM 2017'!D22</f>
        <v>2526625</v>
      </c>
      <c r="N22" s="1206">
        <f>D22-M22</f>
        <v>-213193</v>
      </c>
      <c r="O22" s="1377">
        <f>N22/M22</f>
        <v>-8.4378568248157121E-2</v>
      </c>
      <c r="P22" s="1262">
        <v>8825</v>
      </c>
      <c r="Q22" s="1198">
        <f t="shared" si="1"/>
        <v>0</v>
      </c>
      <c r="R22" s="1199"/>
      <c r="S22" s="1200"/>
      <c r="V22" s="1393">
        <f>V20-V21</f>
        <v>29</v>
      </c>
      <c r="W22" s="793" t="s">
        <v>434</v>
      </c>
    </row>
    <row r="23" spans="1:24" s="860" customFormat="1" ht="19.5" thickTop="1">
      <c r="A23" s="880"/>
      <c r="B23" s="881"/>
      <c r="C23" s="864" t="s">
        <v>294</v>
      </c>
      <c r="D23" s="870">
        <f>SUM(D21:D22)</f>
        <v>3534685</v>
      </c>
      <c r="E23" s="885">
        <f>ROUND(SUM(E21:E22),2)</f>
        <v>25124.9</v>
      </c>
      <c r="F23" s="885">
        <f>SUM(F21:F22)</f>
        <v>525.1</v>
      </c>
      <c r="G23" s="885">
        <f>SUM(G21:G22)</f>
        <v>365</v>
      </c>
      <c r="H23" s="965">
        <f>SUM(H20:H22)</f>
        <v>19114.139580237741</v>
      </c>
      <c r="I23" s="1100" t="s">
        <v>185</v>
      </c>
      <c r="J23" s="1303">
        <f>SUM(J21:J22)</f>
        <v>335194.96999999997</v>
      </c>
      <c r="K23" s="1208"/>
      <c r="L23" s="1195"/>
      <c r="M23" s="870">
        <f>'SUM 2017'!D23</f>
        <v>3838806</v>
      </c>
      <c r="N23" s="1204">
        <f>SUM(N21:N22)</f>
        <v>-304121</v>
      </c>
      <c r="O23" s="1385">
        <f>N23/M23</f>
        <v>-7.9222810425950155E-2</v>
      </c>
      <c r="P23" s="885">
        <f>ROUND(SUM(P21:P22),2)</f>
        <v>25124.9</v>
      </c>
      <c r="Q23" s="1198"/>
      <c r="R23" s="1199"/>
      <c r="S23" s="1200"/>
      <c r="T23" s="927"/>
      <c r="U23" s="1391" t="s">
        <v>360</v>
      </c>
      <c r="V23" s="1394">
        <v>0</v>
      </c>
      <c r="W23" s="793" t="s">
        <v>435</v>
      </c>
    </row>
    <row r="24" spans="1:24">
      <c r="A24" s="829" t="s">
        <v>338</v>
      </c>
      <c r="B24" s="830"/>
      <c r="C24" s="831"/>
      <c r="D24" s="1253"/>
      <c r="E24" s="1254"/>
      <c r="F24" s="1254"/>
      <c r="G24" s="1254"/>
      <c r="H24" s="1255"/>
      <c r="I24" s="1256"/>
      <c r="J24" s="1305"/>
      <c r="K24" s="1225"/>
      <c r="L24" s="1195"/>
      <c r="M24" s="1258">
        <f>'SUM 2016'!D24</f>
        <v>0</v>
      </c>
      <c r="N24" s="1221"/>
      <c r="O24" s="1272"/>
      <c r="P24" s="1254"/>
      <c r="Q24" s="1198"/>
      <c r="R24" s="1199"/>
      <c r="S24" s="1200"/>
      <c r="U24" s="1108"/>
      <c r="V24" s="860">
        <f>V22-V23</f>
        <v>29</v>
      </c>
    </row>
    <row r="25" spans="1:24">
      <c r="A25" s="838" t="s">
        <v>322</v>
      </c>
      <c r="B25" s="839"/>
      <c r="C25" s="872" t="s">
        <v>151</v>
      </c>
      <c r="D25" s="865">
        <v>1981967</v>
      </c>
      <c r="E25" s="866">
        <v>10424.1</v>
      </c>
      <c r="F25" s="1265">
        <v>180.3</v>
      </c>
      <c r="G25" s="1265">
        <v>155.80000000000001</v>
      </c>
      <c r="H25" s="1111">
        <f>D25/G25</f>
        <v>12721.225930680359</v>
      </c>
      <c r="I25" s="1100" t="s">
        <v>185</v>
      </c>
      <c r="J25" s="1303">
        <f>ROUND(6170+12.85*E25,2)</f>
        <v>140119.69</v>
      </c>
      <c r="K25" s="1208"/>
      <c r="L25" s="1195"/>
      <c r="M25" s="870">
        <f>'SUM 2017'!D25</f>
        <v>584779</v>
      </c>
      <c r="N25" s="1204">
        <f>D25-M25</f>
        <v>1397188</v>
      </c>
      <c r="O25" s="1252">
        <f>N25/M25</f>
        <v>2.3892581641953625</v>
      </c>
      <c r="P25" s="866">
        <v>10424.1</v>
      </c>
      <c r="Q25" s="1198">
        <f t="shared" si="1"/>
        <v>0</v>
      </c>
      <c r="R25" s="1199"/>
      <c r="S25" s="1200"/>
      <c r="U25" s="1391" t="s">
        <v>360</v>
      </c>
      <c r="V25" s="1395">
        <v>15</v>
      </c>
      <c r="W25" s="793" t="s">
        <v>436</v>
      </c>
    </row>
    <row r="26" spans="1:24">
      <c r="A26" s="838" t="s">
        <v>323</v>
      </c>
      <c r="B26" s="839"/>
      <c r="C26" s="872" t="s">
        <v>244</v>
      </c>
      <c r="D26" s="865">
        <v>195081</v>
      </c>
      <c r="E26" s="866">
        <v>3668.2</v>
      </c>
      <c r="F26" s="1265">
        <v>0</v>
      </c>
      <c r="G26" s="1265">
        <v>16.100000000000001</v>
      </c>
      <c r="H26" s="1111">
        <f>D26/G26</f>
        <v>12116.832298136645</v>
      </c>
      <c r="I26" s="1100" t="s">
        <v>185</v>
      </c>
      <c r="J26" s="1303">
        <f>ROUND(6170+12.85*E26,2)</f>
        <v>53306.37</v>
      </c>
      <c r="K26" s="1208"/>
      <c r="L26" s="1195"/>
      <c r="M26" s="870">
        <f>'SUM 2017'!D26</f>
        <v>2463764</v>
      </c>
      <c r="N26" s="1204">
        <f>D26-M26</f>
        <v>-2268683</v>
      </c>
      <c r="O26" s="1377">
        <f t="shared" ref="O26" si="2">N26/M26</f>
        <v>-0.92081993242859295</v>
      </c>
      <c r="P26" s="866">
        <v>3668.2</v>
      </c>
      <c r="Q26" s="1198">
        <f t="shared" si="1"/>
        <v>0</v>
      </c>
      <c r="R26" s="1199"/>
      <c r="S26" s="1200"/>
      <c r="U26" s="1108"/>
      <c r="V26" s="860">
        <f>V24-V25</f>
        <v>14</v>
      </c>
    </row>
    <row r="27" spans="1:24" ht="19.5" thickBot="1">
      <c r="A27" s="838">
        <v>60</v>
      </c>
      <c r="B27" s="839"/>
      <c r="C27" s="872" t="s">
        <v>419</v>
      </c>
      <c r="D27" s="1261">
        <v>787644</v>
      </c>
      <c r="E27" s="1262">
        <v>1996</v>
      </c>
      <c r="F27" s="1267">
        <v>310.60000000000002</v>
      </c>
      <c r="G27" s="1267">
        <v>75</v>
      </c>
      <c r="H27" s="1270">
        <f>D27/G27</f>
        <v>10501.92</v>
      </c>
      <c r="I27" s="1271" t="s">
        <v>185</v>
      </c>
      <c r="J27" s="1306">
        <f>ROUND(6170+12.85*E27,2)</f>
        <v>31818.6</v>
      </c>
      <c r="K27" s="1229"/>
      <c r="L27" s="1195"/>
      <c r="M27" s="934">
        <v>0</v>
      </c>
      <c r="N27" s="1206">
        <f>D27-M27</f>
        <v>787644</v>
      </c>
      <c r="O27" s="1379">
        <v>1</v>
      </c>
      <c r="P27" s="1262">
        <v>1996</v>
      </c>
      <c r="Q27" s="1198">
        <f t="shared" si="1"/>
        <v>0</v>
      </c>
      <c r="R27" s="1199"/>
      <c r="S27" s="1200"/>
      <c r="U27" s="1391"/>
      <c r="V27" s="1396">
        <v>7</v>
      </c>
      <c r="W27" s="793" t="s">
        <v>354</v>
      </c>
    </row>
    <row r="28" spans="1:24" s="860" customFormat="1" ht="19.5" thickTop="1">
      <c r="A28" s="880"/>
      <c r="B28" s="881"/>
      <c r="C28" s="864" t="s">
        <v>280</v>
      </c>
      <c r="D28" s="870">
        <f>SUM(D25:D27)</f>
        <v>2964692</v>
      </c>
      <c r="E28" s="885">
        <f>ROUND(SUM(E25:E27),2)</f>
        <v>16088.3</v>
      </c>
      <c r="F28" s="779">
        <f>SUM(F25:F27)</f>
        <v>490.90000000000003</v>
      </c>
      <c r="G28" s="779">
        <f>SUM(G25:G27)</f>
        <v>246.9</v>
      </c>
      <c r="H28" s="965"/>
      <c r="I28" s="1100" t="s">
        <v>185</v>
      </c>
      <c r="J28" s="1303">
        <f>SUM(J25:J27)</f>
        <v>225244.66</v>
      </c>
      <c r="K28" s="1208"/>
      <c r="L28" s="1195"/>
      <c r="M28" s="870">
        <f>'SUM 2017'!D27</f>
        <v>3048543</v>
      </c>
      <c r="N28" s="1204">
        <f>SUM(N25:N27)</f>
        <v>-83851</v>
      </c>
      <c r="O28" s="1386">
        <f>N28/M28</f>
        <v>-2.7505270550554805E-2</v>
      </c>
      <c r="P28" s="885">
        <f>ROUND(SUM(P25:P27),2)</f>
        <v>16088.3</v>
      </c>
      <c r="Q28" s="1198"/>
      <c r="R28" s="1199"/>
      <c r="S28" s="1200"/>
      <c r="T28" s="927"/>
      <c r="U28" s="1107"/>
      <c r="V28" s="1393">
        <v>3</v>
      </c>
      <c r="W28" s="793" t="s">
        <v>353</v>
      </c>
      <c r="X28" s="793"/>
    </row>
    <row r="29" spans="1:24">
      <c r="A29" s="829" t="s">
        <v>78</v>
      </c>
      <c r="B29" s="830"/>
      <c r="C29" s="831"/>
      <c r="D29" s="1253"/>
      <c r="E29" s="1254"/>
      <c r="F29" s="1254"/>
      <c r="G29" s="1254"/>
      <c r="H29" s="1255"/>
      <c r="I29" s="1256"/>
      <c r="J29" s="1305"/>
      <c r="K29" s="1225"/>
      <c r="L29" s="1195"/>
      <c r="M29" s="1258">
        <f>'SUM 2016'!D28</f>
        <v>0</v>
      </c>
      <c r="N29" s="1226"/>
      <c r="O29" s="1272"/>
      <c r="P29" s="1254"/>
      <c r="Q29" s="1198"/>
      <c r="R29" s="1199"/>
      <c r="S29" s="1200"/>
      <c r="U29" s="1108"/>
      <c r="V29" s="1393">
        <v>1</v>
      </c>
      <c r="W29" s="793" t="s">
        <v>437</v>
      </c>
    </row>
    <row r="30" spans="1:24">
      <c r="A30" s="838" t="s">
        <v>230</v>
      </c>
      <c r="B30" s="839"/>
      <c r="C30" s="872" t="s">
        <v>134</v>
      </c>
      <c r="D30" s="865">
        <v>0</v>
      </c>
      <c r="E30" s="866">
        <v>4976.6000000000004</v>
      </c>
      <c r="F30" s="866">
        <v>0</v>
      </c>
      <c r="G30" s="866">
        <v>0</v>
      </c>
      <c r="H30" s="965">
        <v>0</v>
      </c>
      <c r="I30" s="1100" t="s">
        <v>185</v>
      </c>
      <c r="J30" s="1303">
        <f>ROUND(6170+12.85*E30,2)</f>
        <v>70119.31</v>
      </c>
      <c r="K30" s="1208"/>
      <c r="L30" s="1195"/>
      <c r="M30" s="870">
        <f>'SUM 2016'!D29</f>
        <v>0</v>
      </c>
      <c r="N30" s="1204">
        <f>D30-M30</f>
        <v>0</v>
      </c>
      <c r="O30" s="1384" t="s">
        <v>431</v>
      </c>
      <c r="P30" s="866">
        <v>4976.6000000000004</v>
      </c>
      <c r="Q30" s="1198">
        <f t="shared" si="1"/>
        <v>0</v>
      </c>
      <c r="R30" s="1199"/>
      <c r="S30" s="1230"/>
      <c r="V30" s="1314">
        <v>1</v>
      </c>
      <c r="W30" s="793" t="s">
        <v>356</v>
      </c>
    </row>
    <row r="31" spans="1:24" ht="19.5" thickBot="1">
      <c r="A31" s="838" t="s">
        <v>231</v>
      </c>
      <c r="B31" s="839"/>
      <c r="C31" s="872" t="s">
        <v>178</v>
      </c>
      <c r="D31" s="1261">
        <v>0</v>
      </c>
      <c r="E31" s="1262">
        <v>1796.1</v>
      </c>
      <c r="F31" s="1262">
        <v>0</v>
      </c>
      <c r="G31" s="1262">
        <v>0</v>
      </c>
      <c r="H31" s="1268">
        <v>0</v>
      </c>
      <c r="I31" s="1271" t="s">
        <v>185</v>
      </c>
      <c r="J31" s="1306">
        <f>ROUND(6170+12.85*E31,2)</f>
        <v>29249.89</v>
      </c>
      <c r="K31" s="1229"/>
      <c r="L31" s="1195"/>
      <c r="M31" s="934">
        <f>'SUM 2016'!D30</f>
        <v>0</v>
      </c>
      <c r="N31" s="1206">
        <f>D31-M31</f>
        <v>0</v>
      </c>
      <c r="O31" s="1384">
        <v>1996</v>
      </c>
      <c r="P31" s="1262">
        <v>1796.1</v>
      </c>
      <c r="Q31" s="1198">
        <f t="shared" si="1"/>
        <v>0</v>
      </c>
      <c r="R31" s="1199"/>
      <c r="S31" s="1230"/>
      <c r="U31" s="1107"/>
      <c r="V31" s="1395">
        <v>2</v>
      </c>
      <c r="W31" s="793" t="s">
        <v>357</v>
      </c>
    </row>
    <row r="32" spans="1:24" s="860" customFormat="1" ht="19.5" thickTop="1">
      <c r="A32" s="851"/>
      <c r="B32" s="852"/>
      <c r="C32" s="853" t="s">
        <v>281</v>
      </c>
      <c r="D32" s="859">
        <f>SUM(D30:D31)</f>
        <v>0</v>
      </c>
      <c r="E32" s="861">
        <f>ROUND(SUM(E30:E31),2)</f>
        <v>6772.7</v>
      </c>
      <c r="F32" s="861">
        <f>SUM(F30:F31)</f>
        <v>0</v>
      </c>
      <c r="G32" s="861">
        <f>SUM(G30:G31)</f>
        <v>0</v>
      </c>
      <c r="H32" s="964">
        <v>0</v>
      </c>
      <c r="I32" s="1087" t="s">
        <v>185</v>
      </c>
      <c r="J32" s="1309">
        <f>SUM(J30:J31)</f>
        <v>99369.2</v>
      </c>
      <c r="K32" s="1194"/>
      <c r="L32" s="1195"/>
      <c r="M32" s="859">
        <f>'SUM 2016'!D31</f>
        <v>0</v>
      </c>
      <c r="N32" s="1196">
        <f>D32-M32</f>
        <v>0</v>
      </c>
      <c r="O32" s="1386"/>
      <c r="P32" s="861">
        <f>ROUND(SUM(P30:P31),2)</f>
        <v>6772.7</v>
      </c>
      <c r="Q32" s="1198"/>
      <c r="R32" s="1199"/>
      <c r="S32" s="1200"/>
      <c r="T32" s="927"/>
      <c r="V32" s="860">
        <f>SUM(V27:V31)</f>
        <v>14</v>
      </c>
      <c r="X32" s="793"/>
    </row>
    <row r="33" spans="1:20">
      <c r="A33" s="829" t="s">
        <v>219</v>
      </c>
      <c r="B33" s="830"/>
      <c r="C33" s="831"/>
      <c r="D33" s="1221"/>
      <c r="E33" s="1222"/>
      <c r="F33" s="1222"/>
      <c r="G33" s="1222"/>
      <c r="H33" s="1223"/>
      <c r="I33" s="1224"/>
      <c r="J33" s="1310"/>
      <c r="K33" s="1225"/>
      <c r="L33" s="1195"/>
      <c r="M33" s="1258">
        <f>'SUM 2016'!D32</f>
        <v>0</v>
      </c>
      <c r="N33" s="1226"/>
      <c r="O33" s="1272"/>
      <c r="P33" s="1222"/>
      <c r="Q33" s="1198"/>
      <c r="R33" s="1199"/>
      <c r="S33" s="1200"/>
    </row>
    <row r="34" spans="1:20">
      <c r="A34" s="838" t="s">
        <v>311</v>
      </c>
      <c r="B34" s="839"/>
      <c r="C34" s="872" t="s">
        <v>136</v>
      </c>
      <c r="D34" s="865">
        <v>0</v>
      </c>
      <c r="E34" s="866">
        <v>4363.1000000000004</v>
      </c>
      <c r="F34" s="866">
        <v>0</v>
      </c>
      <c r="G34" s="866">
        <v>0</v>
      </c>
      <c r="H34" s="965">
        <v>0</v>
      </c>
      <c r="I34" s="1100" t="s">
        <v>185</v>
      </c>
      <c r="J34" s="1303">
        <f t="shared" ref="J34:J46" si="3">ROUND(6170+12.85*E34,2)</f>
        <v>62235.839999999997</v>
      </c>
      <c r="K34" s="1208"/>
      <c r="L34" s="1195"/>
      <c r="M34" s="870">
        <f>'SUM 2017'!D33</f>
        <v>0</v>
      </c>
      <c r="N34" s="1204">
        <f t="shared" ref="N34:N47" si="4">D34-M34</f>
        <v>0</v>
      </c>
      <c r="O34" s="1384">
        <v>2011</v>
      </c>
      <c r="P34" s="866">
        <v>4363.1000000000004</v>
      </c>
      <c r="Q34" s="1198">
        <f t="shared" si="1"/>
        <v>0</v>
      </c>
      <c r="R34" s="1199"/>
      <c r="S34" s="1200"/>
    </row>
    <row r="35" spans="1:20">
      <c r="A35" s="838" t="s">
        <v>400</v>
      </c>
      <c r="B35" s="839"/>
      <c r="C35" s="872" t="s">
        <v>143</v>
      </c>
      <c r="D35" s="865">
        <v>2471147</v>
      </c>
      <c r="E35" s="866">
        <v>17167.7</v>
      </c>
      <c r="F35" s="866">
        <v>77.7</v>
      </c>
      <c r="G35" s="866">
        <v>120.1</v>
      </c>
      <c r="H35" s="1111">
        <f>D35/G35</f>
        <v>20575.745212323065</v>
      </c>
      <c r="I35" s="1100" t="s">
        <v>185</v>
      </c>
      <c r="J35" s="1303">
        <f t="shared" si="3"/>
        <v>226774.95</v>
      </c>
      <c r="K35" s="1208"/>
      <c r="L35" s="1195"/>
      <c r="M35" s="870">
        <f>'SUM 2017'!D34</f>
        <v>2344708</v>
      </c>
      <c r="N35" s="1204">
        <f t="shared" si="4"/>
        <v>126439</v>
      </c>
      <c r="O35" s="1252">
        <f>N35/M35</f>
        <v>5.3925264894391964E-2</v>
      </c>
      <c r="P35" s="866">
        <v>17167.7</v>
      </c>
      <c r="Q35" s="1198">
        <f t="shared" si="1"/>
        <v>0</v>
      </c>
      <c r="R35" s="1199"/>
      <c r="S35" s="1200"/>
    </row>
    <row r="36" spans="1:20">
      <c r="A36" s="838" t="s">
        <v>324</v>
      </c>
      <c r="B36" s="839"/>
      <c r="C36" s="1427" t="s">
        <v>137</v>
      </c>
      <c r="D36" s="1428">
        <v>0</v>
      </c>
      <c r="E36" s="1429">
        <v>18064.900000000001</v>
      </c>
      <c r="F36" s="1429">
        <v>0</v>
      </c>
      <c r="G36" s="1429">
        <v>0</v>
      </c>
      <c r="H36" s="1111">
        <v>0</v>
      </c>
      <c r="I36" s="1100" t="s">
        <v>185</v>
      </c>
      <c r="J36" s="1303">
        <f t="shared" si="3"/>
        <v>238303.97</v>
      </c>
      <c r="K36" s="1208"/>
      <c r="L36" s="1195"/>
      <c r="M36" s="870">
        <f>'SUM 2017'!D35</f>
        <v>0</v>
      </c>
      <c r="N36" s="1204">
        <f t="shared" si="4"/>
        <v>0</v>
      </c>
      <c r="O36" s="1384">
        <v>2016</v>
      </c>
      <c r="P36" s="1375">
        <v>18064.8</v>
      </c>
      <c r="Q36" s="1220">
        <f t="shared" si="1"/>
        <v>0.10000000000218279</v>
      </c>
      <c r="R36" s="1199">
        <f>12.85*Q36</f>
        <v>1.2850000000280488</v>
      </c>
      <c r="S36" s="1200"/>
    </row>
    <row r="37" spans="1:20">
      <c r="A37" s="838" t="s">
        <v>333</v>
      </c>
      <c r="B37" s="839"/>
      <c r="C37" s="1427" t="s">
        <v>145</v>
      </c>
      <c r="D37" s="1428">
        <v>0</v>
      </c>
      <c r="E37" s="1429">
        <v>13269</v>
      </c>
      <c r="F37" s="1429">
        <v>0</v>
      </c>
      <c r="G37" s="1429">
        <v>0</v>
      </c>
      <c r="H37" s="1111">
        <v>0</v>
      </c>
      <c r="I37" s="1100" t="s">
        <v>185</v>
      </c>
      <c r="J37" s="1303">
        <f t="shared" si="3"/>
        <v>176676.65</v>
      </c>
      <c r="K37" s="1208"/>
      <c r="L37" s="1195"/>
      <c r="M37" s="870">
        <f>'SUM 2017'!D36</f>
        <v>0</v>
      </c>
      <c r="N37" s="1204">
        <f t="shared" si="4"/>
        <v>0</v>
      </c>
      <c r="O37" s="1384">
        <v>2015</v>
      </c>
      <c r="P37" s="866">
        <v>13269</v>
      </c>
      <c r="Q37" s="1198">
        <f t="shared" si="1"/>
        <v>0</v>
      </c>
      <c r="R37" s="1199"/>
      <c r="S37" s="1200"/>
    </row>
    <row r="38" spans="1:20">
      <c r="A38" s="838" t="s">
        <v>271</v>
      </c>
      <c r="B38" s="839"/>
      <c r="C38" s="1427" t="s">
        <v>138</v>
      </c>
      <c r="D38" s="1428">
        <v>0</v>
      </c>
      <c r="E38" s="1429">
        <v>1876.1</v>
      </c>
      <c r="F38" s="1429">
        <v>0</v>
      </c>
      <c r="G38" s="1429">
        <v>0</v>
      </c>
      <c r="H38" s="1111">
        <v>0</v>
      </c>
      <c r="I38" s="1100" t="s">
        <v>185</v>
      </c>
      <c r="J38" s="1303">
        <f t="shared" si="3"/>
        <v>30277.89</v>
      </c>
      <c r="K38" s="1208"/>
      <c r="L38" s="1195"/>
      <c r="M38" s="870">
        <f>'SUM 2017'!D37</f>
        <v>0</v>
      </c>
      <c r="N38" s="1204">
        <f t="shared" si="4"/>
        <v>0</v>
      </c>
      <c r="O38" s="1384">
        <v>2012</v>
      </c>
      <c r="P38" s="866">
        <v>1876.1</v>
      </c>
      <c r="Q38" s="1198">
        <f t="shared" si="1"/>
        <v>0</v>
      </c>
      <c r="R38" s="1199"/>
      <c r="S38" s="1200"/>
    </row>
    <row r="39" spans="1:20">
      <c r="A39" s="838" t="s">
        <v>334</v>
      </c>
      <c r="B39" s="839"/>
      <c r="C39" s="1427" t="s">
        <v>165</v>
      </c>
      <c r="D39" s="1430">
        <v>93632</v>
      </c>
      <c r="E39" s="1431">
        <v>11654.9</v>
      </c>
      <c r="F39" s="1431">
        <v>10.199999999999999</v>
      </c>
      <c r="G39" s="1431">
        <v>0</v>
      </c>
      <c r="H39" s="1274" t="s">
        <v>389</v>
      </c>
      <c r="I39" s="1100" t="s">
        <v>185</v>
      </c>
      <c r="J39" s="1303">
        <f t="shared" si="3"/>
        <v>155935.47</v>
      </c>
      <c r="K39" s="1208"/>
      <c r="L39" s="1195"/>
      <c r="M39" s="870">
        <f>'SUM 2017'!D38</f>
        <v>7149478</v>
      </c>
      <c r="N39" s="1204">
        <f t="shared" si="4"/>
        <v>-7055846</v>
      </c>
      <c r="O39" s="1384">
        <v>2017</v>
      </c>
      <c r="P39" s="1376">
        <v>11654.5</v>
      </c>
      <c r="Q39" s="1220">
        <f>E39-P39</f>
        <v>0.3999999999996362</v>
      </c>
      <c r="R39" s="1199">
        <f>12.85*Q39</f>
        <v>5.1399999999953252</v>
      </c>
      <c r="S39" s="1200"/>
    </row>
    <row r="40" spans="1:20">
      <c r="A40" s="838" t="s">
        <v>401</v>
      </c>
      <c r="B40" s="839"/>
      <c r="C40" s="872" t="s">
        <v>274</v>
      </c>
      <c r="D40" s="865">
        <v>0</v>
      </c>
      <c r="E40" s="866">
        <v>3370.6</v>
      </c>
      <c r="F40" s="866">
        <v>0</v>
      </c>
      <c r="G40" s="866">
        <v>0</v>
      </c>
      <c r="H40" s="1274">
        <v>0</v>
      </c>
      <c r="I40" s="1100" t="s">
        <v>185</v>
      </c>
      <c r="J40" s="1303">
        <f t="shared" si="3"/>
        <v>49482.21</v>
      </c>
      <c r="K40" s="1208"/>
      <c r="L40" s="1195"/>
      <c r="M40" s="870">
        <f>'SUM 2017'!D39</f>
        <v>0</v>
      </c>
      <c r="N40" s="1204">
        <f t="shared" si="4"/>
        <v>0</v>
      </c>
      <c r="O40" s="1292"/>
      <c r="P40" s="866">
        <v>3370.6</v>
      </c>
      <c r="Q40" s="1198">
        <f t="shared" si="1"/>
        <v>0</v>
      </c>
      <c r="R40" s="1199"/>
      <c r="S40" s="1200"/>
    </row>
    <row r="41" spans="1:20">
      <c r="A41" s="838" t="s">
        <v>402</v>
      </c>
      <c r="B41" s="839"/>
      <c r="C41" s="872" t="s">
        <v>217</v>
      </c>
      <c r="D41" s="865">
        <v>8683043</v>
      </c>
      <c r="E41" s="866">
        <v>11440.6</v>
      </c>
      <c r="F41" s="866">
        <v>366.5</v>
      </c>
      <c r="G41" s="866">
        <v>436.3</v>
      </c>
      <c r="H41" s="1274">
        <f t="shared" ref="H41" si="5">D41/G41</f>
        <v>19901.542516617006</v>
      </c>
      <c r="I41" s="1100" t="s">
        <v>185</v>
      </c>
      <c r="J41" s="1303">
        <f t="shared" si="3"/>
        <v>153181.71</v>
      </c>
      <c r="K41" s="1208"/>
      <c r="L41" s="1195"/>
      <c r="M41" s="870">
        <f>'SUM 2017'!D40</f>
        <v>10076011</v>
      </c>
      <c r="N41" s="1204">
        <f t="shared" si="4"/>
        <v>-1392968</v>
      </c>
      <c r="O41" s="1377">
        <f>N41/M41</f>
        <v>-0.13824597849287779</v>
      </c>
      <c r="P41" s="866">
        <v>11440.6</v>
      </c>
      <c r="Q41" s="1198">
        <f t="shared" si="1"/>
        <v>0</v>
      </c>
      <c r="R41" s="1199"/>
      <c r="S41" s="1200"/>
    </row>
    <row r="42" spans="1:20">
      <c r="A42" s="838">
        <v>51</v>
      </c>
      <c r="B42" s="839"/>
      <c r="C42" s="872" t="s">
        <v>242</v>
      </c>
      <c r="D42" s="865">
        <v>0</v>
      </c>
      <c r="E42" s="866">
        <v>4293</v>
      </c>
      <c r="F42" s="866">
        <v>0</v>
      </c>
      <c r="G42" s="866">
        <v>0</v>
      </c>
      <c r="H42" s="1260">
        <v>0</v>
      </c>
      <c r="I42" s="1100" t="s">
        <v>185</v>
      </c>
      <c r="J42" s="1303">
        <f t="shared" si="3"/>
        <v>61335.05</v>
      </c>
      <c r="K42" s="1208"/>
      <c r="L42" s="1195"/>
      <c r="M42" s="870">
        <f>'SUM 2017'!D41</f>
        <v>0</v>
      </c>
      <c r="N42" s="1204">
        <f t="shared" si="4"/>
        <v>0</v>
      </c>
      <c r="O42" s="1392"/>
      <c r="P42" s="866">
        <v>4293</v>
      </c>
      <c r="Q42" s="1198">
        <f t="shared" si="1"/>
        <v>0</v>
      </c>
      <c r="R42" s="1199"/>
      <c r="S42" s="1200"/>
    </row>
    <row r="43" spans="1:20">
      <c r="A43" s="838">
        <v>53</v>
      </c>
      <c r="B43" s="839"/>
      <c r="C43" s="872" t="s">
        <v>250</v>
      </c>
      <c r="D43" s="865">
        <v>0</v>
      </c>
      <c r="E43" s="866">
        <v>2308</v>
      </c>
      <c r="F43" s="866">
        <v>0</v>
      </c>
      <c r="G43" s="866">
        <v>0</v>
      </c>
      <c r="H43" s="1260">
        <v>0</v>
      </c>
      <c r="I43" s="1100" t="s">
        <v>185</v>
      </c>
      <c r="J43" s="1303">
        <f t="shared" si="3"/>
        <v>35827.800000000003</v>
      </c>
      <c r="K43" s="1208"/>
      <c r="L43" s="1195"/>
      <c r="M43" s="870">
        <f>'SUM 2017'!D42</f>
        <v>0</v>
      </c>
      <c r="N43" s="1204">
        <f t="shared" si="4"/>
        <v>0</v>
      </c>
      <c r="O43" s="1384">
        <v>2014</v>
      </c>
      <c r="P43" s="866">
        <v>2308</v>
      </c>
      <c r="Q43" s="1198">
        <f>E43-P43</f>
        <v>0</v>
      </c>
      <c r="R43" s="1199"/>
      <c r="S43" s="1200"/>
    </row>
    <row r="44" spans="1:20">
      <c r="A44" s="838" t="s">
        <v>346</v>
      </c>
      <c r="B44" s="839"/>
      <c r="C44" s="872" t="s">
        <v>275</v>
      </c>
      <c r="D44" s="865">
        <v>0</v>
      </c>
      <c r="E44" s="866">
        <v>3614.3</v>
      </c>
      <c r="F44" s="866">
        <v>0</v>
      </c>
      <c r="G44" s="866">
        <v>0</v>
      </c>
      <c r="H44" s="1274">
        <v>0</v>
      </c>
      <c r="I44" s="1100" t="s">
        <v>185</v>
      </c>
      <c r="J44" s="1303">
        <f t="shared" si="3"/>
        <v>52613.760000000002</v>
      </c>
      <c r="K44" s="1208"/>
      <c r="L44" s="1195"/>
      <c r="M44" s="870">
        <f>'SUM 2017'!D43</f>
        <v>1239905</v>
      </c>
      <c r="N44" s="1204">
        <f t="shared" si="4"/>
        <v>-1239905</v>
      </c>
      <c r="O44" s="1384">
        <v>2017</v>
      </c>
      <c r="P44" s="866">
        <v>3614.3</v>
      </c>
      <c r="Q44" s="1198">
        <f t="shared" ref="Q44:Q45" si="6">E44-P44</f>
        <v>0</v>
      </c>
      <c r="R44" s="1199"/>
      <c r="S44" s="1200"/>
    </row>
    <row r="45" spans="1:20">
      <c r="A45" s="838">
        <v>56</v>
      </c>
      <c r="C45" s="929" t="s">
        <v>309</v>
      </c>
      <c r="D45" s="1275">
        <v>0</v>
      </c>
      <c r="E45" s="1276">
        <v>278.89999999999998</v>
      </c>
      <c r="F45" s="1276">
        <v>0</v>
      </c>
      <c r="G45" s="1276">
        <v>0</v>
      </c>
      <c r="H45" s="1274">
        <v>0</v>
      </c>
      <c r="I45" s="1311" t="s">
        <v>185</v>
      </c>
      <c r="J45" s="1303">
        <f t="shared" si="3"/>
        <v>9753.8700000000008</v>
      </c>
      <c r="K45" s="1231"/>
      <c r="L45" s="1232"/>
      <c r="M45" s="870">
        <f>'SUM 2017'!D44</f>
        <v>0</v>
      </c>
      <c r="N45" s="1204">
        <f t="shared" si="4"/>
        <v>0</v>
      </c>
      <c r="O45" s="1384">
        <v>2013</v>
      </c>
      <c r="P45" s="1276">
        <v>278.89999999999998</v>
      </c>
      <c r="Q45" s="1198">
        <f t="shared" si="6"/>
        <v>0</v>
      </c>
      <c r="R45" s="1199"/>
      <c r="S45" s="1200"/>
    </row>
    <row r="46" spans="1:20" ht="19.5" thickBot="1">
      <c r="A46" s="838">
        <v>58</v>
      </c>
      <c r="B46" s="839"/>
      <c r="C46" s="872" t="s">
        <v>310</v>
      </c>
      <c r="D46" s="865">
        <v>2734143</v>
      </c>
      <c r="E46" s="866">
        <v>3424.8</v>
      </c>
      <c r="F46" s="866">
        <v>186.7</v>
      </c>
      <c r="G46" s="1262">
        <v>164.7</v>
      </c>
      <c r="H46" s="1277">
        <f>D46/G46</f>
        <v>16600.746812386158</v>
      </c>
      <c r="I46" s="1271" t="s">
        <v>185</v>
      </c>
      <c r="J46" s="1306">
        <f t="shared" si="3"/>
        <v>50178.68</v>
      </c>
      <c r="K46" s="1229"/>
      <c r="L46" s="1195"/>
      <c r="M46" s="870">
        <f>'SUM 2017'!D45</f>
        <v>3048198</v>
      </c>
      <c r="N46" s="1204">
        <f t="shared" si="4"/>
        <v>-314055</v>
      </c>
      <c r="O46" s="1377">
        <f t="shared" ref="O46" si="7">N46/M46</f>
        <v>-0.10302972444703395</v>
      </c>
      <c r="P46" s="866">
        <v>3424.8</v>
      </c>
      <c r="Q46" s="1198">
        <f t="shared" si="1"/>
        <v>0</v>
      </c>
      <c r="R46" s="1199"/>
      <c r="S46" s="1200"/>
    </row>
    <row r="47" spans="1:20" s="860" customFormat="1" ht="19.5" thickTop="1">
      <c r="A47" s="851"/>
      <c r="B47" s="852"/>
      <c r="C47" s="853" t="s">
        <v>282</v>
      </c>
      <c r="D47" s="899">
        <f>SUM(D34:D46)</f>
        <v>13981965</v>
      </c>
      <c r="E47" s="900">
        <f>ROUND(SUM(E34:E46),2)</f>
        <v>95125.9</v>
      </c>
      <c r="F47" s="900">
        <f>SUM(F34:F46)</f>
        <v>641.09999999999991</v>
      </c>
      <c r="G47" s="861">
        <f>SUM(G34:G46)</f>
        <v>721.09999999999991</v>
      </c>
      <c r="H47" s="964"/>
      <c r="I47" s="1087" t="s">
        <v>185</v>
      </c>
      <c r="J47" s="1302">
        <f>SUM(J34:J46)</f>
        <v>1302577.8500000001</v>
      </c>
      <c r="K47" s="1194"/>
      <c r="L47" s="1195"/>
      <c r="M47" s="899">
        <f>'SUM 2017'!D46</f>
        <v>23858300</v>
      </c>
      <c r="N47" s="1209">
        <f t="shared" si="4"/>
        <v>-9876335</v>
      </c>
      <c r="O47" s="1386">
        <f>N47/M47</f>
        <v>-0.41395803556833471</v>
      </c>
      <c r="P47" s="900">
        <f>ROUND(SUM(P34:P46),2)</f>
        <v>95125.4</v>
      </c>
      <c r="Q47" s="1198"/>
      <c r="R47" s="1199">
        <f>SUM(R4:R46)</f>
        <v>6.425000000023374</v>
      </c>
      <c r="S47" s="1200"/>
      <c r="T47" s="927"/>
    </row>
    <row r="48" spans="1:20">
      <c r="A48" s="829" t="s">
        <v>86</v>
      </c>
      <c r="B48" s="830"/>
      <c r="C48" s="831"/>
      <c r="D48" s="1201"/>
      <c r="E48" s="1202"/>
      <c r="F48" s="1202"/>
      <c r="G48" s="1222"/>
      <c r="H48" s="1223"/>
      <c r="I48" s="1224"/>
      <c r="J48" s="1310"/>
      <c r="K48" s="1225"/>
      <c r="L48" s="1195"/>
      <c r="M48" s="870">
        <f>'SUM 2016'!D47</f>
        <v>0</v>
      </c>
      <c r="N48" s="1204"/>
      <c r="O48" s="1272"/>
      <c r="P48" s="1202"/>
      <c r="Q48" s="1198"/>
      <c r="R48" s="1199"/>
      <c r="S48" s="1233">
        <f>SUM(R3:R46)</f>
        <v>2024.4250000000234</v>
      </c>
      <c r="T48" s="921" t="s">
        <v>359</v>
      </c>
    </row>
    <row r="49" spans="1:20" ht="19.5" thickBot="1">
      <c r="A49" s="901" t="s">
        <v>403</v>
      </c>
      <c r="B49" s="902"/>
      <c r="C49" s="930" t="s">
        <v>139</v>
      </c>
      <c r="D49" s="1261">
        <v>2030297</v>
      </c>
      <c r="E49" s="1262">
        <v>6072</v>
      </c>
      <c r="F49" s="1262">
        <v>108.7</v>
      </c>
      <c r="G49" s="1262">
        <v>130.69999999999999</v>
      </c>
      <c r="H49" s="1270">
        <f>D49/G49</f>
        <v>15534.024483550116</v>
      </c>
      <c r="I49" s="1271" t="s">
        <v>185</v>
      </c>
      <c r="J49" s="1306">
        <f>ROUND(6170+12.85*E49,2)</f>
        <v>84195.199999999997</v>
      </c>
      <c r="K49" s="1229"/>
      <c r="L49" s="1195"/>
      <c r="M49" s="934">
        <f>'SUM 2017'!D48</f>
        <v>1992150</v>
      </c>
      <c r="N49" s="1206">
        <f>D49-M49</f>
        <v>38147</v>
      </c>
      <c r="O49" s="1252">
        <f>N49/M49</f>
        <v>1.9148658484551866E-2</v>
      </c>
      <c r="P49" s="1262">
        <v>6072</v>
      </c>
      <c r="Q49" s="1198">
        <f t="shared" si="1"/>
        <v>0</v>
      </c>
      <c r="R49" s="1199"/>
      <c r="S49" s="1200"/>
    </row>
    <row r="50" spans="1:20" ht="20.25" thickTop="1" thickBot="1">
      <c r="A50" s="1942" t="s">
        <v>44</v>
      </c>
      <c r="B50" s="1943"/>
      <c r="C50" s="1944"/>
      <c r="D50" s="975">
        <f>SUM(D4,D6,D11,D15,D19,D23,D28,D32,D47,D49)</f>
        <v>24842955</v>
      </c>
      <c r="E50" s="911">
        <f>SUM(E4,E6,E11,E15,E19,E23,E28,E32,E47,E49)</f>
        <v>173446.8</v>
      </c>
      <c r="F50" s="911">
        <f>SUM(F4,F6,F11,F15,F19,F23,F28,F32,F47,F49)</f>
        <v>2082.71</v>
      </c>
      <c r="G50" s="911">
        <f>SUM(G4,G6,G11,G15,G19,G23,G28,G32,G47,G49)</f>
        <v>1713.8999999999999</v>
      </c>
      <c r="H50" s="976">
        <f>D50/G50</f>
        <v>14494.985121652373</v>
      </c>
      <c r="I50" s="906" t="s">
        <v>185</v>
      </c>
      <c r="J50" s="1312">
        <f>SUM(J4,J6,J11,J15,J19,J23,J28,J32,J47,J49)</f>
        <v>2407721.4400000004</v>
      </c>
      <c r="K50" s="1210"/>
      <c r="L50" s="1232"/>
      <c r="M50" s="975">
        <f>'SUM 2017'!D49</f>
        <v>35415535</v>
      </c>
      <c r="N50" s="1211">
        <f>D50-M50</f>
        <v>-10572580</v>
      </c>
      <c r="O50" s="1361">
        <f>N50/M50</f>
        <v>-0.2985294447761413</v>
      </c>
      <c r="P50" s="911">
        <f>SUM(P4,P6,P11,P15,P19,P23,P28,P32,P47,P49)</f>
        <v>173446.3</v>
      </c>
      <c r="Q50" s="1198">
        <f t="shared" si="1"/>
        <v>0.5</v>
      </c>
      <c r="R50" s="1197">
        <f>Q50/P50</f>
        <v>2.8827366164628478E-6</v>
      </c>
      <c r="S50" s="1217"/>
      <c r="T50" s="793"/>
    </row>
    <row r="51" spans="1:20">
      <c r="D51" s="1213"/>
      <c r="E51" s="1212"/>
      <c r="F51" s="1212"/>
      <c r="G51" s="1212"/>
      <c r="H51" s="1213"/>
      <c r="I51" s="1214"/>
      <c r="J51" s="1234"/>
      <c r="K51" s="1214"/>
      <c r="L51" s="1232"/>
      <c r="M51" s="1213"/>
      <c r="N51" s="1217"/>
      <c r="O51" s="1235"/>
      <c r="P51" s="1212"/>
      <c r="Q51" s="1198"/>
      <c r="R51" s="1217"/>
      <c r="S51" s="1217"/>
      <c r="T51" s="793"/>
    </row>
    <row r="52" spans="1:20">
      <c r="D52" s="1213"/>
      <c r="E52" s="1212"/>
      <c r="F52" s="1212"/>
      <c r="G52" s="1212"/>
      <c r="H52" s="1213"/>
      <c r="I52" s="1214"/>
      <c r="J52" s="1234"/>
      <c r="K52" s="1214"/>
      <c r="L52" s="1232"/>
      <c r="M52" s="1213"/>
      <c r="N52" s="1200"/>
      <c r="O52" s="1197"/>
      <c r="P52" s="1212"/>
      <c r="Q52" s="1198"/>
      <c r="R52" s="1217"/>
      <c r="S52" s="1217"/>
      <c r="T52" s="793"/>
    </row>
    <row r="53" spans="1:20">
      <c r="D53" s="1213"/>
      <c r="E53" s="1212"/>
      <c r="F53" s="1236" t="s">
        <v>318</v>
      </c>
      <c r="G53" s="1212">
        <f>G50-'SUM 2017'!G49</f>
        <v>-475.08000000000015</v>
      </c>
      <c r="H53" s="1213"/>
      <c r="I53" s="1214"/>
      <c r="J53" s="1234">
        <f>ROUNDUP((29*6170)+(E50*12.85),1)</f>
        <v>2407721.4</v>
      </c>
      <c r="K53" s="1214"/>
      <c r="L53" s="1232"/>
      <c r="M53" s="1213"/>
      <c r="N53" s="1197"/>
      <c r="O53" s="1197"/>
      <c r="P53" s="1212">
        <f>'SUM 2017'!G49-G50</f>
        <v>475.08000000000015</v>
      </c>
      <c r="Q53" s="1237">
        <f>P53/'SUM 2017'!G49</f>
        <v>0.21703259052161286</v>
      </c>
      <c r="R53" s="1217"/>
      <c r="S53" s="1217"/>
      <c r="T53" s="793"/>
    </row>
    <row r="54" spans="1:20">
      <c r="D54" s="1213"/>
      <c r="E54" s="1212"/>
      <c r="F54" s="1236" t="s">
        <v>319</v>
      </c>
      <c r="G54" s="1238">
        <f>G53/'SUM 2017'!G49</f>
        <v>-0.21703259052161286</v>
      </c>
      <c r="H54" s="1213"/>
      <c r="I54" s="1214"/>
      <c r="J54" s="1234">
        <f>J53-J50</f>
        <v>-4.000000050291419E-2</v>
      </c>
      <c r="K54" s="1239" t="s">
        <v>283</v>
      </c>
      <c r="L54" s="1232"/>
      <c r="M54" s="1213"/>
      <c r="N54" s="1217"/>
      <c r="O54" s="1197"/>
      <c r="P54" s="1212"/>
      <c r="Q54" s="1198"/>
      <c r="R54" s="1217"/>
      <c r="S54" s="1217"/>
      <c r="T54" s="793"/>
    </row>
    <row r="56" spans="1:20">
      <c r="M56" s="1300"/>
      <c r="N56" s="1110"/>
      <c r="S56" s="793"/>
      <c r="T56" s="793"/>
    </row>
    <row r="57" spans="1:20">
      <c r="M57" s="1109"/>
      <c r="N57" s="1110"/>
    </row>
    <row r="58" spans="1:20">
      <c r="M58" s="1109"/>
      <c r="N58" s="1110"/>
    </row>
    <row r="59" spans="1:20">
      <c r="M59" s="1109"/>
      <c r="N59" s="1110"/>
    </row>
    <row r="60" spans="1:20">
      <c r="M60" s="1109"/>
      <c r="N60" s="1110"/>
    </row>
    <row r="61" spans="1:20">
      <c r="M61" s="1109"/>
      <c r="N61" s="1110"/>
    </row>
    <row r="62" spans="1:20">
      <c r="M62" s="1109"/>
      <c r="N62" s="1110"/>
    </row>
  </sheetData>
  <mergeCells count="17">
    <mergeCell ref="R1:R2"/>
    <mergeCell ref="O1:O2"/>
    <mergeCell ref="P1:P2"/>
    <mergeCell ref="Q1:Q2"/>
    <mergeCell ref="M1:M2"/>
    <mergeCell ref="N1:N2"/>
    <mergeCell ref="A50:C50"/>
    <mergeCell ref="H1:H2"/>
    <mergeCell ref="I1:I2"/>
    <mergeCell ref="J1:J2"/>
    <mergeCell ref="K1:K2"/>
    <mergeCell ref="A1:B2"/>
    <mergeCell ref="C1:C2"/>
    <mergeCell ref="D1:D2"/>
    <mergeCell ref="E1:E2"/>
    <mergeCell ref="F1:F2"/>
    <mergeCell ref="G1:G2"/>
  </mergeCells>
  <pageMargins left="0" right="0" top="1" bottom="0" header="0.5" footer="0"/>
  <pageSetup scale="37" orientation="portrait" r:id="rId1"/>
  <headerFooter>
    <oddHeader>&amp;C&amp;"Times New Roman,Bold"&amp;14Summary of 2018 Annual Coal Production and Acres Bonded, Disturbed and Mined</oddHeader>
    <oddFooter>&amp;L&amp;D</oddFooter>
  </headerFooter>
  <ignoredErrors>
    <ignoredError sqref="H23" unlockedFormula="1"/>
    <ignoredError sqref="H27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5695F-0177-4CF3-A79F-B38C27664CDE}">
  <sheetPr>
    <pageSetUpPr fitToPage="1"/>
  </sheetPr>
  <dimension ref="A1:X61"/>
  <sheetViews>
    <sheetView zoomScale="73" zoomScaleNormal="73" workbookViewId="0">
      <pane xSplit="3" ySplit="2" topLeftCell="D3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ColWidth="9.140625" defaultRowHeight="18.75"/>
  <cols>
    <col min="1" max="1" width="11.28515625" style="891" customWidth="1"/>
    <col min="2" max="2" width="2.42578125" style="891" customWidth="1"/>
    <col min="3" max="3" width="35.28515625" style="891" customWidth="1"/>
    <col min="4" max="4" width="17.140625" style="913" customWidth="1"/>
    <col min="5" max="5" width="16.140625" style="914" customWidth="1"/>
    <col min="6" max="6" width="15.7109375" style="914" customWidth="1"/>
    <col min="7" max="7" width="15" style="914" customWidth="1"/>
    <col min="8" max="8" width="14.85546875" style="913" customWidth="1"/>
    <col min="9" max="9" width="3.140625" style="920" customWidth="1"/>
    <col min="10" max="10" width="20.140625" style="918" customWidth="1"/>
    <col min="11" max="11" width="0.42578125" style="920" customWidth="1"/>
    <col min="12" max="12" width="6" style="891" customWidth="1"/>
    <col min="13" max="13" width="17.85546875" style="913" customWidth="1"/>
    <col min="14" max="14" width="15.7109375" style="793" customWidth="1"/>
    <col min="15" max="15" width="14.85546875" style="912" customWidth="1"/>
    <col min="16" max="16" width="17.7109375" style="914" customWidth="1"/>
    <col min="17" max="17" width="13.28515625" style="804" customWidth="1"/>
    <col min="18" max="18" width="13.140625" style="793" customWidth="1"/>
    <col min="19" max="19" width="13.140625" style="921" customWidth="1"/>
    <col min="20" max="20" width="9.140625" style="921" customWidth="1"/>
    <col min="21" max="21" width="9.140625" style="793"/>
    <col min="22" max="22" width="5.28515625" style="793" customWidth="1"/>
    <col min="23" max="23" width="9.140625" style="793"/>
    <col min="24" max="24" width="14.7109375" style="793" customWidth="1"/>
    <col min="25" max="16384" width="9.140625" style="793"/>
  </cols>
  <sheetData>
    <row r="1" spans="1:23" ht="18.75" customHeight="1">
      <c r="A1" s="1995" t="s">
        <v>6</v>
      </c>
      <c r="B1" s="1996"/>
      <c r="C1" s="1999" t="s">
        <v>162</v>
      </c>
      <c r="D1" s="2001" t="s">
        <v>409</v>
      </c>
      <c r="E1" s="2003" t="s">
        <v>289</v>
      </c>
      <c r="F1" s="2003" t="s">
        <v>187</v>
      </c>
      <c r="G1" s="2003" t="s">
        <v>288</v>
      </c>
      <c r="H1" s="1983" t="s">
        <v>238</v>
      </c>
      <c r="I1" s="1985" t="s">
        <v>184</v>
      </c>
      <c r="J1" s="1987" t="s">
        <v>350</v>
      </c>
      <c r="K1" s="1989" t="s">
        <v>184</v>
      </c>
      <c r="L1" s="792"/>
      <c r="M1" s="1991" t="s">
        <v>386</v>
      </c>
      <c r="N1" s="1993" t="s">
        <v>208</v>
      </c>
      <c r="O1" s="1979" t="s">
        <v>299</v>
      </c>
      <c r="P1" s="1980" t="s">
        <v>411</v>
      </c>
      <c r="Q1" s="1982"/>
      <c r="S1" s="921" t="s">
        <v>385</v>
      </c>
    </row>
    <row r="2" spans="1:23" ht="36" customHeight="1" thickBot="1">
      <c r="A2" s="1997"/>
      <c r="B2" s="1998"/>
      <c r="C2" s="2000"/>
      <c r="D2" s="2002"/>
      <c r="E2" s="2004"/>
      <c r="F2" s="2004"/>
      <c r="G2" s="2004"/>
      <c r="H2" s="1984"/>
      <c r="I2" s="1986"/>
      <c r="J2" s="1988"/>
      <c r="K2" s="1990"/>
      <c r="L2" s="792"/>
      <c r="M2" s="1992"/>
      <c r="N2" s="1994"/>
      <c r="O2" s="1979"/>
      <c r="P2" s="1981"/>
      <c r="Q2" s="1982"/>
      <c r="S2" s="921" t="s">
        <v>384</v>
      </c>
    </row>
    <row r="3" spans="1:23">
      <c r="A3" s="794" t="s">
        <v>412</v>
      </c>
      <c r="B3" s="795"/>
      <c r="C3" s="796"/>
      <c r="D3" s="1240"/>
      <c r="E3" s="1241"/>
      <c r="F3" s="1241"/>
      <c r="G3" s="1241"/>
      <c r="H3" s="1242"/>
      <c r="I3" s="1243"/>
      <c r="J3" s="1301"/>
      <c r="K3" s="1244"/>
      <c r="L3" s="1215"/>
      <c r="M3" s="1245">
        <f>'SUM 2015'!D3</f>
        <v>0</v>
      </c>
      <c r="N3" s="1216"/>
      <c r="O3" s="1197"/>
      <c r="P3" s="1246"/>
      <c r="Q3" s="1198"/>
      <c r="R3" s="1217"/>
      <c r="S3" s="1200"/>
    </row>
    <row r="4" spans="1:23">
      <c r="A4" s="805" t="s">
        <v>410</v>
      </c>
      <c r="B4" s="806"/>
      <c r="C4" s="931" t="s">
        <v>125</v>
      </c>
      <c r="D4" s="854">
        <v>0</v>
      </c>
      <c r="E4" s="855">
        <v>4979.3</v>
      </c>
      <c r="F4" s="855">
        <v>0</v>
      </c>
      <c r="G4" s="855">
        <v>0</v>
      </c>
      <c r="H4" s="964">
        <v>0</v>
      </c>
      <c r="I4" s="1098" t="s">
        <v>185</v>
      </c>
      <c r="J4" s="1302">
        <f>ROUND(6170+12.85*E4,2)</f>
        <v>70154.009999999995</v>
      </c>
      <c r="K4" s="1099"/>
      <c r="L4" s="1195"/>
      <c r="M4" s="859">
        <f>'SUM 2015'!D4</f>
        <v>0</v>
      </c>
      <c r="N4" s="1196">
        <f>D4-M4</f>
        <v>0</v>
      </c>
      <c r="O4" s="1218"/>
      <c r="P4" s="861">
        <v>4979.3</v>
      </c>
      <c r="Q4" s="1198">
        <f>E4-P4</f>
        <v>0</v>
      </c>
      <c r="R4" s="1199"/>
      <c r="S4" s="1200"/>
    </row>
    <row r="5" spans="1:23">
      <c r="A5" s="815" t="s">
        <v>246</v>
      </c>
      <c r="B5" s="816"/>
      <c r="C5" s="817"/>
      <c r="D5" s="1248"/>
      <c r="E5" s="1249"/>
      <c r="F5" s="1249"/>
      <c r="G5" s="1249"/>
      <c r="H5" s="965"/>
      <c r="I5" s="1100"/>
      <c r="J5" s="1303"/>
      <c r="K5" s="1101"/>
      <c r="L5" s="1195"/>
      <c r="M5" s="781">
        <f>'SUM 2015'!D5</f>
        <v>0</v>
      </c>
      <c r="N5" s="1219"/>
      <c r="O5" s="1060"/>
      <c r="P5" s="1250"/>
      <c r="Q5" s="1198"/>
      <c r="R5" s="1199"/>
      <c r="S5" s="1200"/>
    </row>
    <row r="6" spans="1:23">
      <c r="A6" s="805" t="s">
        <v>321</v>
      </c>
      <c r="B6" s="826"/>
      <c r="C6" s="931" t="s">
        <v>144</v>
      </c>
      <c r="D6" s="854">
        <v>2437496</v>
      </c>
      <c r="E6" s="855">
        <v>6199.8</v>
      </c>
      <c r="F6" s="855">
        <v>121.6</v>
      </c>
      <c r="G6" s="855">
        <v>227.9</v>
      </c>
      <c r="H6" s="1251">
        <f>D6/G6</f>
        <v>10695.462922334356</v>
      </c>
      <c r="I6" s="1098" t="s">
        <v>185</v>
      </c>
      <c r="J6" s="1304">
        <f>ROUND(6170+12.85*E6,2)</f>
        <v>85837.43</v>
      </c>
      <c r="K6" s="1099"/>
      <c r="L6" s="1195"/>
      <c r="M6" s="859">
        <f>'SUM 2016'!D6</f>
        <v>1788007</v>
      </c>
      <c r="N6" s="1196">
        <f>D6-M6</f>
        <v>649489</v>
      </c>
      <c r="O6" s="1252">
        <f>N6/M6</f>
        <v>0.36324745932202729</v>
      </c>
      <c r="P6" s="861">
        <v>6199.8</v>
      </c>
      <c r="Q6" s="1220">
        <f>E6-P6</f>
        <v>0</v>
      </c>
      <c r="R6" s="1006"/>
      <c r="S6" s="925" t="s">
        <v>340</v>
      </c>
      <c r="W6" s="793">
        <v>14</v>
      </c>
    </row>
    <row r="7" spans="1:23">
      <c r="A7" s="829" t="s">
        <v>147</v>
      </c>
      <c r="B7" s="830"/>
      <c r="C7" s="831"/>
      <c r="D7" s="1253"/>
      <c r="E7" s="1254"/>
      <c r="F7" s="1254"/>
      <c r="G7" s="1254"/>
      <c r="H7" s="1255"/>
      <c r="I7" s="1256"/>
      <c r="J7" s="1305"/>
      <c r="K7" s="1257"/>
      <c r="L7" s="1195"/>
      <c r="M7" s="1258">
        <f>'SUM 2015'!D7</f>
        <v>0</v>
      </c>
      <c r="N7" s="1226"/>
      <c r="O7" s="1060"/>
      <c r="P7" s="1259"/>
      <c r="Q7" s="1198"/>
      <c r="R7" s="1007"/>
      <c r="S7" s="925" t="s">
        <v>341</v>
      </c>
      <c r="W7" s="793">
        <v>0</v>
      </c>
    </row>
    <row r="8" spans="1:23">
      <c r="A8" s="838" t="s">
        <v>223</v>
      </c>
      <c r="B8" s="839"/>
      <c r="C8" s="872" t="s">
        <v>127</v>
      </c>
      <c r="D8" s="865">
        <v>0</v>
      </c>
      <c r="E8" s="866">
        <v>2489.8000000000002</v>
      </c>
      <c r="F8" s="866">
        <v>0</v>
      </c>
      <c r="G8" s="866">
        <v>0</v>
      </c>
      <c r="H8" s="1260">
        <v>0</v>
      </c>
      <c r="I8" s="1100" t="s">
        <v>185</v>
      </c>
      <c r="J8" s="1303">
        <f>ROUND(6170+12.85*E8,2)</f>
        <v>38163.93</v>
      </c>
      <c r="K8" s="1101"/>
      <c r="L8" s="1195"/>
      <c r="M8" s="870">
        <f>'SUM 2015'!D8</f>
        <v>0</v>
      </c>
      <c r="N8" s="1204">
        <f>D8-M8</f>
        <v>0</v>
      </c>
      <c r="O8" s="1247"/>
      <c r="P8" s="885">
        <v>2489.8000000000002</v>
      </c>
      <c r="Q8" s="1198">
        <f>E8-P8</f>
        <v>0</v>
      </c>
      <c r="R8" s="1008"/>
      <c r="S8" s="925" t="s">
        <v>342</v>
      </c>
      <c r="W8" s="793">
        <v>1</v>
      </c>
    </row>
    <row r="9" spans="1:23">
      <c r="A9" s="838" t="s">
        <v>224</v>
      </c>
      <c r="B9" s="839"/>
      <c r="C9" s="872" t="s">
        <v>128</v>
      </c>
      <c r="D9" s="865">
        <v>0</v>
      </c>
      <c r="E9" s="866">
        <v>615.9</v>
      </c>
      <c r="F9" s="866">
        <v>0</v>
      </c>
      <c r="G9" s="866">
        <v>0</v>
      </c>
      <c r="H9" s="965">
        <v>0</v>
      </c>
      <c r="I9" s="1100" t="s">
        <v>185</v>
      </c>
      <c r="J9" s="1303">
        <f>ROUND(6170+12.85*E9,2)</f>
        <v>14084.32</v>
      </c>
      <c r="K9" s="1101"/>
      <c r="L9" s="1195"/>
      <c r="M9" s="870">
        <f>'SUM 2015'!D9</f>
        <v>0</v>
      </c>
      <c r="N9" s="1204">
        <f>D9-M9</f>
        <v>0</v>
      </c>
      <c r="O9" s="1247"/>
      <c r="P9" s="885">
        <v>615.9</v>
      </c>
      <c r="Q9" s="1198">
        <f>E9-P9</f>
        <v>0</v>
      </c>
      <c r="R9" s="1009"/>
      <c r="S9" s="925" t="s">
        <v>416</v>
      </c>
      <c r="W9" s="793">
        <v>9</v>
      </c>
    </row>
    <row r="10" spans="1:23" ht="19.5" thickBot="1">
      <c r="A10" s="838" t="s">
        <v>291</v>
      </c>
      <c r="B10" s="839"/>
      <c r="C10" s="872" t="s">
        <v>177</v>
      </c>
      <c r="D10" s="1261">
        <v>0</v>
      </c>
      <c r="E10" s="1262">
        <v>531.9</v>
      </c>
      <c r="F10" s="1262">
        <v>0</v>
      </c>
      <c r="G10" s="1262">
        <v>0</v>
      </c>
      <c r="H10" s="1263">
        <v>0</v>
      </c>
      <c r="I10" s="1092" t="s">
        <v>185</v>
      </c>
      <c r="J10" s="1306">
        <f>ROUND(6170+12.85*E10,2)</f>
        <v>13004.92</v>
      </c>
      <c r="K10" s="1094"/>
      <c r="L10" s="1195"/>
      <c r="M10" s="934">
        <f>'SUM 2015'!D10</f>
        <v>0</v>
      </c>
      <c r="N10" s="1206">
        <f>D10-M10</f>
        <v>0</v>
      </c>
      <c r="O10" s="1247"/>
      <c r="P10" s="1264">
        <v>531.9</v>
      </c>
      <c r="Q10" s="1198">
        <f>E10-P10</f>
        <v>0</v>
      </c>
      <c r="R10" s="1294"/>
      <c r="S10" s="925" t="s">
        <v>417</v>
      </c>
      <c r="W10" s="793">
        <v>3</v>
      </c>
    </row>
    <row r="11" spans="1:23" s="860" customFormat="1" ht="19.5" thickTop="1">
      <c r="A11" s="851"/>
      <c r="B11" s="852"/>
      <c r="C11" s="853" t="s">
        <v>278</v>
      </c>
      <c r="D11" s="854">
        <f>SUM(D8:D10)</f>
        <v>0</v>
      </c>
      <c r="E11" s="855">
        <f>ROUND(SUM(E8:E10),1)</f>
        <v>3637.6</v>
      </c>
      <c r="F11" s="855">
        <f>SUM(F8:F10)</f>
        <v>0</v>
      </c>
      <c r="G11" s="855">
        <f>SUM(G8:G10)</f>
        <v>0</v>
      </c>
      <c r="H11" s="977">
        <f>SUM(H8:H10)</f>
        <v>0</v>
      </c>
      <c r="I11" s="1087" t="s">
        <v>185</v>
      </c>
      <c r="J11" s="1302">
        <f>SUM(J8:J10)</f>
        <v>65253.17</v>
      </c>
      <c r="K11" s="1088"/>
      <c r="L11" s="1195"/>
      <c r="M11" s="859">
        <f>'SUM 2015'!D11</f>
        <v>0</v>
      </c>
      <c r="N11" s="1196">
        <f>D11-M11</f>
        <v>0</v>
      </c>
      <c r="O11" s="1060"/>
      <c r="P11" s="861">
        <f>SUM(P8:P10)</f>
        <v>3637.6000000000004</v>
      </c>
      <c r="Q11" s="1198"/>
      <c r="R11" s="1291"/>
      <c r="S11" s="925" t="s">
        <v>388</v>
      </c>
      <c r="W11" s="793">
        <v>2</v>
      </c>
    </row>
    <row r="12" spans="1:23">
      <c r="A12" s="815" t="s">
        <v>313</v>
      </c>
      <c r="B12" s="863"/>
      <c r="C12" s="864"/>
      <c r="D12" s="865"/>
      <c r="E12" s="866"/>
      <c r="F12" s="866"/>
      <c r="G12" s="866"/>
      <c r="H12" s="965"/>
      <c r="I12" s="1089"/>
      <c r="J12" s="1307"/>
      <c r="K12" s="1090"/>
      <c r="L12" s="1195"/>
      <c r="M12" s="870">
        <f>'SUM 2015'!D12</f>
        <v>0</v>
      </c>
      <c r="N12" s="1204"/>
      <c r="O12" s="1060"/>
      <c r="P12" s="885"/>
      <c r="Q12" s="1198"/>
      <c r="R12" s="1316" t="s">
        <v>407</v>
      </c>
      <c r="S12" s="793"/>
    </row>
    <row r="13" spans="1:23">
      <c r="A13" s="871">
        <v>57</v>
      </c>
      <c r="B13" s="863"/>
      <c r="C13" s="872" t="s">
        <v>314</v>
      </c>
      <c r="D13" s="865">
        <v>0</v>
      </c>
      <c r="E13" s="866">
        <v>80.8</v>
      </c>
      <c r="F13" s="1265">
        <v>0</v>
      </c>
      <c r="G13" s="1265">
        <v>0</v>
      </c>
      <c r="H13" s="965">
        <v>0</v>
      </c>
      <c r="I13" s="1089" t="s">
        <v>185</v>
      </c>
      <c r="J13" s="1307">
        <f>ROUND(6170+12.85*E13,2)</f>
        <v>7208.28</v>
      </c>
      <c r="K13" s="1203"/>
      <c r="L13" s="1195"/>
      <c r="M13" s="870">
        <f>'SUM 2015'!D13</f>
        <v>0</v>
      </c>
      <c r="N13" s="1204">
        <f>D13-M13</f>
        <v>0</v>
      </c>
      <c r="O13" s="1266"/>
      <c r="P13" s="885">
        <v>80.8</v>
      </c>
      <c r="Q13" s="1198">
        <f>E13-P13</f>
        <v>0</v>
      </c>
      <c r="R13" s="1199"/>
      <c r="S13" s="1200"/>
      <c r="T13" s="927"/>
    </row>
    <row r="14" spans="1:23" ht="19.5" thickBot="1">
      <c r="A14" s="871">
        <v>59</v>
      </c>
      <c r="B14" s="863"/>
      <c r="C14" s="872" t="s">
        <v>326</v>
      </c>
      <c r="D14" s="1261">
        <v>240240</v>
      </c>
      <c r="E14" s="1262">
        <v>1101</v>
      </c>
      <c r="F14" s="1267">
        <v>54.66</v>
      </c>
      <c r="G14" s="1267">
        <v>49.38</v>
      </c>
      <c r="H14" s="1268">
        <f>D14/G14</f>
        <v>4865.1275820170104</v>
      </c>
      <c r="I14" s="1092" t="s">
        <v>185</v>
      </c>
      <c r="J14" s="1308">
        <f>ROUND(6170+12.85*E14,2)</f>
        <v>20317.849999999999</v>
      </c>
      <c r="K14" s="1205"/>
      <c r="L14" s="1228"/>
      <c r="M14" s="1261">
        <f>'SUM 2016'!D14</f>
        <v>213647</v>
      </c>
      <c r="N14" s="1206">
        <f>D14-M14</f>
        <v>26593</v>
      </c>
      <c r="O14" s="1269">
        <f>N14/M14</f>
        <v>0.12447167523999869</v>
      </c>
      <c r="P14" s="1264">
        <v>1101</v>
      </c>
      <c r="Q14" s="1198">
        <f>E14-P14</f>
        <v>0</v>
      </c>
      <c r="R14" s="1199"/>
      <c r="S14" s="793"/>
      <c r="T14" s="1314">
        <v>29</v>
      </c>
      <c r="U14" s="793" t="s">
        <v>351</v>
      </c>
    </row>
    <row r="15" spans="1:23" ht="19.5" thickTop="1">
      <c r="A15" s="871"/>
      <c r="B15" s="863"/>
      <c r="C15" s="864" t="s">
        <v>325</v>
      </c>
      <c r="D15" s="870">
        <f>SUM(D13:D14)</f>
        <v>240240</v>
      </c>
      <c r="E15" s="885">
        <f>ROUND(SUM(E13:E14),1)</f>
        <v>1181.8</v>
      </c>
      <c r="F15" s="779">
        <f t="shared" ref="F15:H15" si="0">SUM(F13:F14)</f>
        <v>54.66</v>
      </c>
      <c r="G15" s="779">
        <f t="shared" si="0"/>
        <v>49.38</v>
      </c>
      <c r="H15" s="1111">
        <f t="shared" si="0"/>
        <v>4865.1275820170104</v>
      </c>
      <c r="I15" s="1256"/>
      <c r="J15" s="1305">
        <f>SUM(J13:J14)</f>
        <v>27526.129999999997</v>
      </c>
      <c r="K15" s="1225"/>
      <c r="L15" s="1195"/>
      <c r="M15" s="899">
        <f>'SUM 2016'!D15</f>
        <v>213647</v>
      </c>
      <c r="N15" s="1204">
        <f>SUM(N13:N14)</f>
        <v>26593</v>
      </c>
      <c r="O15" s="1060"/>
      <c r="P15" s="885">
        <f>SUM(P13:P14)</f>
        <v>1181.8</v>
      </c>
      <c r="Q15" s="1198"/>
      <c r="R15" s="1199"/>
      <c r="S15" s="1107" t="s">
        <v>360</v>
      </c>
      <c r="T15" s="1315">
        <v>14</v>
      </c>
      <c r="U15" s="793" t="s">
        <v>352</v>
      </c>
    </row>
    <row r="16" spans="1:23">
      <c r="A16" s="829" t="s">
        <v>180</v>
      </c>
      <c r="B16" s="830"/>
      <c r="C16" s="831"/>
      <c r="D16" s="1253"/>
      <c r="E16" s="1254"/>
      <c r="F16" s="1254"/>
      <c r="G16" s="1254"/>
      <c r="H16" s="1255"/>
      <c r="I16" s="1256"/>
      <c r="J16" s="1305"/>
      <c r="K16" s="1225"/>
      <c r="L16" s="1195"/>
      <c r="M16" s="1258">
        <f>'SUM 2016'!D16</f>
        <v>0</v>
      </c>
      <c r="N16" s="1226"/>
      <c r="O16" s="1060"/>
      <c r="P16" s="1259"/>
      <c r="Q16" s="1198"/>
      <c r="R16" s="1199"/>
      <c r="S16" s="1108"/>
      <c r="T16" s="1314">
        <f>T14-T15</f>
        <v>15</v>
      </c>
    </row>
    <row r="17" spans="1:24">
      <c r="A17" s="838" t="s">
        <v>399</v>
      </c>
      <c r="B17" s="839"/>
      <c r="C17" s="872" t="s">
        <v>132</v>
      </c>
      <c r="D17" s="865">
        <v>0</v>
      </c>
      <c r="E17" s="866">
        <v>13027.6</v>
      </c>
      <c r="F17" s="866">
        <v>0</v>
      </c>
      <c r="G17" s="866">
        <v>0</v>
      </c>
      <c r="H17" s="1111" t="s">
        <v>389</v>
      </c>
      <c r="I17" s="1100" t="s">
        <v>185</v>
      </c>
      <c r="J17" s="1303">
        <f>ROUND(6170+12.85*E17,2)</f>
        <v>173574.66</v>
      </c>
      <c r="K17" s="1208"/>
      <c r="L17" s="1195"/>
      <c r="M17" s="870">
        <f>'SUM 2016'!D17</f>
        <v>3643619</v>
      </c>
      <c r="N17" s="1204">
        <f>D17-M17</f>
        <v>-3643619</v>
      </c>
      <c r="O17" s="1273">
        <f>N17/M17</f>
        <v>-1</v>
      </c>
      <c r="P17" s="885">
        <v>13027.6</v>
      </c>
      <c r="Q17" s="1198">
        <f>E17-P17</f>
        <v>0</v>
      </c>
      <c r="R17" s="1199"/>
      <c r="S17" s="1108" t="s">
        <v>360</v>
      </c>
      <c r="T17" s="1315">
        <v>9</v>
      </c>
      <c r="U17" s="793" t="s">
        <v>353</v>
      </c>
    </row>
    <row r="18" spans="1:24" ht="19.5" thickBot="1">
      <c r="A18" s="838" t="s">
        <v>253</v>
      </c>
      <c r="B18" s="839"/>
      <c r="C18" s="872" t="s">
        <v>157</v>
      </c>
      <c r="D18" s="1261">
        <v>0</v>
      </c>
      <c r="E18" s="1262">
        <v>5192.8999999999996</v>
      </c>
      <c r="F18" s="1262">
        <v>0</v>
      </c>
      <c r="G18" s="1262">
        <v>0</v>
      </c>
      <c r="H18" s="1270" t="s">
        <v>389</v>
      </c>
      <c r="I18" s="1271" t="s">
        <v>185</v>
      </c>
      <c r="J18" s="1306">
        <f>ROUND(6170+12.85*E18,2)</f>
        <v>72898.77</v>
      </c>
      <c r="K18" s="1229"/>
      <c r="L18" s="1195"/>
      <c r="M18" s="934">
        <f>'SUM 2016'!D18</f>
        <v>21372</v>
      </c>
      <c r="N18" s="1206">
        <f>D18-M18</f>
        <v>-21372</v>
      </c>
      <c r="O18" s="1273">
        <f>N18/M18</f>
        <v>-1</v>
      </c>
      <c r="P18" s="1264">
        <v>5192.8999999999996</v>
      </c>
      <c r="Q18" s="1198">
        <f t="shared" ref="Q18:Q49" si="1">E18-P18</f>
        <v>0</v>
      </c>
      <c r="R18" s="1199"/>
      <c r="S18" s="1108"/>
      <c r="T18" s="1314">
        <f>T16-T17</f>
        <v>6</v>
      </c>
    </row>
    <row r="19" spans="1:24" s="860" customFormat="1" ht="19.5" thickTop="1">
      <c r="A19" s="851"/>
      <c r="B19" s="852"/>
      <c r="C19" s="853" t="s">
        <v>279</v>
      </c>
      <c r="D19" s="859">
        <f>SUM(D17:D18)</f>
        <v>0</v>
      </c>
      <c r="E19" s="861">
        <f>ROUND(SUM(E17:E18),2)</f>
        <v>18220.5</v>
      </c>
      <c r="F19" s="861">
        <f>SUM(F17:F18)</f>
        <v>0</v>
      </c>
      <c r="G19" s="861">
        <f>SUM(G17:G18)</f>
        <v>0</v>
      </c>
      <c r="H19" s="977"/>
      <c r="I19" s="1098" t="s">
        <v>185</v>
      </c>
      <c r="J19" s="1304">
        <f>SUM(J17:J18)</f>
        <v>246473.43</v>
      </c>
      <c r="K19" s="1207"/>
      <c r="L19" s="1195"/>
      <c r="M19" s="859">
        <f>'SUM 2016'!D19</f>
        <v>3664991</v>
      </c>
      <c r="N19" s="1196">
        <f>D19-M19</f>
        <v>-3664991</v>
      </c>
      <c r="O19" s="1272">
        <f>N19/M19</f>
        <v>-1</v>
      </c>
      <c r="P19" s="861">
        <f>SUM(P17:P18)</f>
        <v>18220.5</v>
      </c>
      <c r="Q19" s="1198"/>
      <c r="R19" s="1199"/>
      <c r="S19" s="1107" t="s">
        <v>360</v>
      </c>
      <c r="T19" s="1315">
        <v>3</v>
      </c>
      <c r="U19" s="793" t="s">
        <v>354</v>
      </c>
    </row>
    <row r="20" spans="1:24">
      <c r="A20" s="829" t="s">
        <v>75</v>
      </c>
      <c r="B20" s="830"/>
      <c r="C20" s="831"/>
      <c r="D20" s="1253"/>
      <c r="E20" s="1254"/>
      <c r="F20" s="1254"/>
      <c r="G20" s="1254"/>
      <c r="H20" s="1255"/>
      <c r="I20" s="1256"/>
      <c r="J20" s="1305"/>
      <c r="K20" s="1225"/>
      <c r="L20" s="1195"/>
      <c r="M20" s="1258">
        <f>'SUM 2016'!D20</f>
        <v>0</v>
      </c>
      <c r="N20" s="1226"/>
      <c r="O20" s="1272"/>
      <c r="P20" s="1259"/>
      <c r="Q20" s="1198"/>
      <c r="R20" s="1199"/>
      <c r="S20" s="1108"/>
      <c r="T20" s="1314">
        <f>T18-T19</f>
        <v>3</v>
      </c>
    </row>
    <row r="21" spans="1:24">
      <c r="A21" s="838" t="s">
        <v>290</v>
      </c>
      <c r="B21" s="839"/>
      <c r="C21" s="872" t="s">
        <v>216</v>
      </c>
      <c r="D21" s="865">
        <v>1312181</v>
      </c>
      <c r="E21" s="866">
        <v>16126.6</v>
      </c>
      <c r="F21" s="866">
        <v>1.9</v>
      </c>
      <c r="G21" s="866">
        <v>133.30000000000001</v>
      </c>
      <c r="H21" s="1111">
        <f>D21/G21</f>
        <v>9843.8184546136526</v>
      </c>
      <c r="I21" s="1100" t="s">
        <v>185</v>
      </c>
      <c r="J21" s="1303">
        <f>ROUND(6170+12.85*E21,2)</f>
        <v>213396.81</v>
      </c>
      <c r="K21" s="1208"/>
      <c r="L21" s="1195"/>
      <c r="M21" s="870">
        <f>'SUM 2016'!D21</f>
        <v>2177192</v>
      </c>
      <c r="N21" s="1204">
        <f>D21-M21</f>
        <v>-865011</v>
      </c>
      <c r="O21" s="1252">
        <f>N21/M21</f>
        <v>-0.39730579572219632</v>
      </c>
      <c r="P21" s="885">
        <v>16126.6</v>
      </c>
      <c r="Q21" s="1198">
        <f t="shared" si="1"/>
        <v>0</v>
      </c>
      <c r="R21" s="1199"/>
      <c r="S21" s="1108" t="s">
        <v>360</v>
      </c>
      <c r="T21" s="1315">
        <v>1</v>
      </c>
      <c r="U21" s="793" t="s">
        <v>356</v>
      </c>
    </row>
    <row r="22" spans="1:24" ht="19.5" thickBot="1">
      <c r="A22" s="838">
        <v>55</v>
      </c>
      <c r="B22" s="839"/>
      <c r="C22" s="872" t="s">
        <v>293</v>
      </c>
      <c r="D22" s="1261">
        <v>2526625</v>
      </c>
      <c r="E22" s="1262">
        <v>3981</v>
      </c>
      <c r="F22" s="1262">
        <v>467.5</v>
      </c>
      <c r="G22" s="1262">
        <v>211.7</v>
      </c>
      <c r="H22" s="1270">
        <f>D22/G22</f>
        <v>11934.931506849316</v>
      </c>
      <c r="I22" s="1271" t="s">
        <v>185</v>
      </c>
      <c r="J22" s="1306">
        <f>ROUND(6170+12.85*E22,2)</f>
        <v>57325.85</v>
      </c>
      <c r="K22" s="1229"/>
      <c r="L22" s="1195"/>
      <c r="M22" s="934">
        <f>'SUM 2016'!D22</f>
        <v>2020588</v>
      </c>
      <c r="N22" s="1206">
        <f>D22-M22</f>
        <v>506037</v>
      </c>
      <c r="O22" s="1252">
        <f>N22/M22</f>
        <v>0.25044046584459573</v>
      </c>
      <c r="P22" s="1264">
        <v>3981</v>
      </c>
      <c r="Q22" s="1198">
        <f t="shared" si="1"/>
        <v>0</v>
      </c>
      <c r="R22" s="1199"/>
      <c r="S22" s="1108"/>
      <c r="T22" s="1314">
        <f>T20-T21</f>
        <v>2</v>
      </c>
      <c r="V22" s="1314"/>
    </row>
    <row r="23" spans="1:24" s="860" customFormat="1" ht="19.5" thickTop="1">
      <c r="A23" s="880"/>
      <c r="B23" s="881"/>
      <c r="C23" s="864" t="s">
        <v>294</v>
      </c>
      <c r="D23" s="870">
        <f>SUM(D21:D22)</f>
        <v>3838806</v>
      </c>
      <c r="E23" s="885">
        <f>ROUND(SUM(E21:E22),2)</f>
        <v>20107.599999999999</v>
      </c>
      <c r="F23" s="885">
        <f>SUM(F21:F22)</f>
        <v>469.4</v>
      </c>
      <c r="G23" s="885">
        <f>SUM(G21:G22)</f>
        <v>345</v>
      </c>
      <c r="H23" s="965"/>
      <c r="I23" s="1100" t="s">
        <v>185</v>
      </c>
      <c r="J23" s="1303">
        <f>SUM(J21:J22)</f>
        <v>270722.65999999997</v>
      </c>
      <c r="K23" s="1208"/>
      <c r="L23" s="1195"/>
      <c r="M23" s="870">
        <f>'SUM 2016'!D23</f>
        <v>4197780</v>
      </c>
      <c r="N23" s="1204">
        <f>SUM(N21:N22)</f>
        <v>-358974</v>
      </c>
      <c r="O23" s="1272">
        <f>N23/M23</f>
        <v>-8.5515200891899998E-2</v>
      </c>
      <c r="P23" s="885">
        <f>SUM(P21:P22)</f>
        <v>20107.599999999999</v>
      </c>
      <c r="Q23" s="1198"/>
      <c r="R23" s="1199"/>
      <c r="S23" s="1107" t="s">
        <v>360</v>
      </c>
      <c r="T23" s="1315">
        <v>2</v>
      </c>
      <c r="U23" s="793" t="s">
        <v>357</v>
      </c>
      <c r="V23" s="1403"/>
      <c r="W23" s="793"/>
    </row>
    <row r="24" spans="1:24">
      <c r="A24" s="829" t="s">
        <v>338</v>
      </c>
      <c r="B24" s="830"/>
      <c r="C24" s="831"/>
      <c r="D24" s="1253"/>
      <c r="E24" s="1254"/>
      <c r="F24" s="1254"/>
      <c r="G24" s="1254"/>
      <c r="H24" s="1255"/>
      <c r="I24" s="1256"/>
      <c r="J24" s="1305"/>
      <c r="K24" s="1225"/>
      <c r="L24" s="1195"/>
      <c r="M24" s="1258">
        <f>'SUM 2016'!D24</f>
        <v>0</v>
      </c>
      <c r="N24" s="1221"/>
      <c r="O24" s="1272"/>
      <c r="P24" s="1259"/>
      <c r="Q24" s="1198"/>
      <c r="R24" s="1199"/>
      <c r="S24" s="793"/>
      <c r="T24" s="793">
        <f>T22-T23</f>
        <v>0</v>
      </c>
      <c r="V24" s="1403"/>
    </row>
    <row r="25" spans="1:24">
      <c r="A25" s="838" t="s">
        <v>322</v>
      </c>
      <c r="B25" s="839"/>
      <c r="C25" s="872" t="s">
        <v>151</v>
      </c>
      <c r="D25" s="865">
        <v>584779</v>
      </c>
      <c r="E25" s="866">
        <v>10409.799999999999</v>
      </c>
      <c r="F25" s="1265">
        <v>112.7</v>
      </c>
      <c r="G25" s="1265">
        <v>49.4</v>
      </c>
      <c r="H25" s="1111">
        <f>D25/G25</f>
        <v>11837.631578947368</v>
      </c>
      <c r="I25" s="1100" t="s">
        <v>185</v>
      </c>
      <c r="J25" s="1303">
        <f>ROUND(6170+12.85*E25,2)</f>
        <v>139935.93</v>
      </c>
      <c r="K25" s="1208"/>
      <c r="L25" s="1195"/>
      <c r="M25" s="870">
        <f>'SUM 2016'!D25</f>
        <v>530939</v>
      </c>
      <c r="N25" s="1204">
        <f>D25-M25</f>
        <v>53840</v>
      </c>
      <c r="O25" s="1252">
        <f>N25/M25</f>
        <v>0.10140524617705612</v>
      </c>
      <c r="P25" s="885">
        <v>10409.799999999999</v>
      </c>
      <c r="Q25" s="1198">
        <f t="shared" si="1"/>
        <v>0</v>
      </c>
      <c r="R25" s="1199"/>
      <c r="S25" s="793"/>
      <c r="T25" s="793"/>
      <c r="V25" s="1403"/>
    </row>
    <row r="26" spans="1:24" ht="19.5" thickBot="1">
      <c r="A26" s="838" t="s">
        <v>323</v>
      </c>
      <c r="B26" s="839"/>
      <c r="C26" s="872" t="s">
        <v>244</v>
      </c>
      <c r="D26" s="1261">
        <v>2463764</v>
      </c>
      <c r="E26" s="1262">
        <v>3668.2</v>
      </c>
      <c r="F26" s="1267">
        <v>128.6</v>
      </c>
      <c r="G26" s="1267">
        <v>295.7</v>
      </c>
      <c r="H26" s="1270">
        <f>D26/G26</f>
        <v>8331.9715928305723</v>
      </c>
      <c r="I26" s="1271" t="s">
        <v>185</v>
      </c>
      <c r="J26" s="1306">
        <f>ROUND(6170+12.85*E26,2)</f>
        <v>53306.37</v>
      </c>
      <c r="K26" s="1229"/>
      <c r="L26" s="1195"/>
      <c r="M26" s="934">
        <f>'SUM 2016'!D26</f>
        <v>2245919</v>
      </c>
      <c r="N26" s="1206">
        <f>D26-M26</f>
        <v>217845</v>
      </c>
      <c r="O26" s="1252">
        <f>N26/M26</f>
        <v>9.6995929060665148E-2</v>
      </c>
      <c r="P26" s="1264">
        <v>3668.2</v>
      </c>
      <c r="Q26" s="1198">
        <f t="shared" si="1"/>
        <v>0</v>
      </c>
      <c r="R26" s="1199"/>
      <c r="S26" s="793"/>
      <c r="T26" s="793"/>
      <c r="U26" s="793" t="s">
        <v>404</v>
      </c>
      <c r="V26" s="1314"/>
    </row>
    <row r="27" spans="1:24" s="860" customFormat="1" ht="19.5" thickTop="1">
      <c r="A27" s="880"/>
      <c r="B27" s="881"/>
      <c r="C27" s="864" t="s">
        <v>280</v>
      </c>
      <c r="D27" s="870">
        <f>SUM(D25:D26)</f>
        <v>3048543</v>
      </c>
      <c r="E27" s="885">
        <f>ROUND(SUM(E25:E26),2)</f>
        <v>14078</v>
      </c>
      <c r="F27" s="779">
        <f>SUM(F25:F26)</f>
        <v>241.3</v>
      </c>
      <c r="G27" s="779">
        <f>SUM(G25:G26)</f>
        <v>345.09999999999997</v>
      </c>
      <c r="H27" s="965"/>
      <c r="I27" s="1100" t="s">
        <v>185</v>
      </c>
      <c r="J27" s="1303">
        <f>SUM(J25:J26)</f>
        <v>193242.3</v>
      </c>
      <c r="K27" s="1208"/>
      <c r="L27" s="1195"/>
      <c r="M27" s="870">
        <f>'SUM 2016'!D27</f>
        <v>2776858</v>
      </c>
      <c r="N27" s="1204">
        <f>SUM(N25:N26)</f>
        <v>271685</v>
      </c>
      <c r="O27" s="1272">
        <f>N27/M27</f>
        <v>9.7838996448504023E-2</v>
      </c>
      <c r="P27" s="885">
        <f>SUM(P25:P26)</f>
        <v>14078</v>
      </c>
      <c r="Q27" s="1198"/>
      <c r="R27" s="1199"/>
      <c r="S27" s="1200"/>
      <c r="T27" s="927"/>
      <c r="U27" s="1402"/>
      <c r="V27" s="1403"/>
      <c r="W27" s="793"/>
      <c r="X27" s="793"/>
    </row>
    <row r="28" spans="1:24">
      <c r="A28" s="829" t="s">
        <v>78</v>
      </c>
      <c r="B28" s="830"/>
      <c r="C28" s="831"/>
      <c r="D28" s="1253"/>
      <c r="E28" s="1254"/>
      <c r="F28" s="1254"/>
      <c r="G28" s="1254"/>
      <c r="H28" s="1255"/>
      <c r="I28" s="1256"/>
      <c r="J28" s="1305"/>
      <c r="K28" s="1225"/>
      <c r="L28" s="1195"/>
      <c r="M28" s="1258">
        <f>'SUM 2016'!D28</f>
        <v>0</v>
      </c>
      <c r="N28" s="1226"/>
      <c r="O28" s="1272"/>
      <c r="P28" s="1259"/>
      <c r="Q28" s="1198"/>
      <c r="R28" s="1199"/>
      <c r="S28" s="1200"/>
      <c r="U28" s="1404"/>
      <c r="V28" s="1403"/>
    </row>
    <row r="29" spans="1:24">
      <c r="A29" s="838" t="s">
        <v>230</v>
      </c>
      <c r="B29" s="839"/>
      <c r="C29" s="872" t="s">
        <v>134</v>
      </c>
      <c r="D29" s="865">
        <v>0</v>
      </c>
      <c r="E29" s="866">
        <v>5116.7</v>
      </c>
      <c r="F29" s="866">
        <v>0</v>
      </c>
      <c r="G29" s="866">
        <v>0</v>
      </c>
      <c r="H29" s="965">
        <v>0</v>
      </c>
      <c r="I29" s="1100" t="s">
        <v>185</v>
      </c>
      <c r="J29" s="1303">
        <f>ROUND(6170+12.85*E29,2)</f>
        <v>71919.600000000006</v>
      </c>
      <c r="K29" s="1208"/>
      <c r="L29" s="1195"/>
      <c r="M29" s="870">
        <f>'SUM 2016'!D29</f>
        <v>0</v>
      </c>
      <c r="N29" s="1204">
        <f>D29-M29</f>
        <v>0</v>
      </c>
      <c r="O29" s="1273"/>
      <c r="P29" s="885">
        <v>5116.7</v>
      </c>
      <c r="Q29" s="1198">
        <f t="shared" si="1"/>
        <v>0</v>
      </c>
      <c r="R29" s="1199"/>
      <c r="S29" s="1230"/>
      <c r="U29" s="1404"/>
      <c r="V29" s="1403"/>
    </row>
    <row r="30" spans="1:24" ht="19.5" thickBot="1">
      <c r="A30" s="838" t="s">
        <v>231</v>
      </c>
      <c r="B30" s="839"/>
      <c r="C30" s="872" t="s">
        <v>178</v>
      </c>
      <c r="D30" s="1261">
        <v>0</v>
      </c>
      <c r="E30" s="1262">
        <v>1796.1</v>
      </c>
      <c r="F30" s="1262">
        <v>0</v>
      </c>
      <c r="G30" s="1262">
        <v>0</v>
      </c>
      <c r="H30" s="1268">
        <v>0</v>
      </c>
      <c r="I30" s="1271" t="s">
        <v>185</v>
      </c>
      <c r="J30" s="1306">
        <f>ROUND(6170+12.85*E30,2)</f>
        <v>29249.89</v>
      </c>
      <c r="K30" s="1229"/>
      <c r="L30" s="1195"/>
      <c r="M30" s="934">
        <f>'SUM 2016'!D30</f>
        <v>0</v>
      </c>
      <c r="N30" s="1206">
        <f>D30-M30</f>
        <v>0</v>
      </c>
      <c r="O30" s="1273"/>
      <c r="P30" s="1264">
        <v>1796.1</v>
      </c>
      <c r="Q30" s="1198">
        <f t="shared" si="1"/>
        <v>0</v>
      </c>
      <c r="R30" s="1199"/>
      <c r="S30" s="1230"/>
      <c r="U30" s="1404"/>
      <c r="V30" s="1403"/>
    </row>
    <row r="31" spans="1:24" s="860" customFormat="1" ht="19.5" thickTop="1">
      <c r="A31" s="851"/>
      <c r="B31" s="852"/>
      <c r="C31" s="853" t="s">
        <v>281</v>
      </c>
      <c r="D31" s="859">
        <f>SUM(D29:D30)</f>
        <v>0</v>
      </c>
      <c r="E31" s="861">
        <f>ROUND(SUM(E29:E30),2)</f>
        <v>6912.8</v>
      </c>
      <c r="F31" s="861">
        <f>SUM(F29:F30)</f>
        <v>0</v>
      </c>
      <c r="G31" s="861">
        <f>SUM(G29:G30)</f>
        <v>0</v>
      </c>
      <c r="H31" s="964">
        <v>0</v>
      </c>
      <c r="I31" s="1087" t="s">
        <v>185</v>
      </c>
      <c r="J31" s="1309">
        <f>SUM(J29:J30)</f>
        <v>101169.49</v>
      </c>
      <c r="K31" s="1194"/>
      <c r="L31" s="1195"/>
      <c r="M31" s="859">
        <f>'SUM 2016'!D31</f>
        <v>0</v>
      </c>
      <c r="N31" s="1196">
        <f>D31-M31</f>
        <v>0</v>
      </c>
      <c r="O31" s="1272"/>
      <c r="P31" s="861">
        <f>SUM(P29:P30)</f>
        <v>6912.7999999999993</v>
      </c>
      <c r="Q31" s="1198"/>
      <c r="R31" s="1199"/>
      <c r="S31" s="1200"/>
      <c r="T31" s="927"/>
      <c r="U31" s="1402"/>
      <c r="V31" s="1403"/>
      <c r="W31" s="793"/>
      <c r="X31" s="793"/>
    </row>
    <row r="32" spans="1:24">
      <c r="A32" s="829" t="s">
        <v>219</v>
      </c>
      <c r="B32" s="830"/>
      <c r="C32" s="831"/>
      <c r="D32" s="1221"/>
      <c r="E32" s="1222"/>
      <c r="F32" s="1222"/>
      <c r="G32" s="1222"/>
      <c r="H32" s="1223"/>
      <c r="I32" s="1224"/>
      <c r="J32" s="1310"/>
      <c r="K32" s="1225"/>
      <c r="L32" s="1195"/>
      <c r="M32" s="1258">
        <f>'SUM 2016'!D32</f>
        <v>0</v>
      </c>
      <c r="N32" s="1226"/>
      <c r="O32" s="1272"/>
      <c r="P32" s="1259"/>
      <c r="Q32" s="1198"/>
      <c r="R32" s="1199"/>
      <c r="S32" s="1200"/>
      <c r="U32" s="1405"/>
      <c r="V32" s="1405"/>
    </row>
    <row r="33" spans="1:20">
      <c r="A33" s="838" t="s">
        <v>311</v>
      </c>
      <c r="B33" s="839"/>
      <c r="C33" s="872" t="s">
        <v>136</v>
      </c>
      <c r="D33" s="865">
        <v>0</v>
      </c>
      <c r="E33" s="866">
        <v>4363.1000000000004</v>
      </c>
      <c r="F33" s="866">
        <v>0</v>
      </c>
      <c r="G33" s="866">
        <v>0</v>
      </c>
      <c r="H33" s="965" t="s">
        <v>389</v>
      </c>
      <c r="I33" s="1100" t="s">
        <v>185</v>
      </c>
      <c r="J33" s="1303">
        <f t="shared" ref="J33:J45" si="2">ROUND(6170+12.85*E33,2)</f>
        <v>62235.839999999997</v>
      </c>
      <c r="K33" s="1208"/>
      <c r="L33" s="1195"/>
      <c r="M33" s="870">
        <f>'SUM 2016'!D33</f>
        <v>0</v>
      </c>
      <c r="N33" s="1204">
        <f t="shared" ref="N33:N46" si="3">D33-M33</f>
        <v>0</v>
      </c>
      <c r="O33" s="1273"/>
      <c r="P33" s="885">
        <v>4363.1000000000004</v>
      </c>
      <c r="Q33" s="1198">
        <f t="shared" si="1"/>
        <v>0</v>
      </c>
      <c r="R33" s="1199"/>
      <c r="S33" s="1200"/>
    </row>
    <row r="34" spans="1:20">
      <c r="A34" s="838" t="s">
        <v>400</v>
      </c>
      <c r="B34" s="839"/>
      <c r="C34" s="872" t="s">
        <v>143</v>
      </c>
      <c r="D34" s="865">
        <v>2344708</v>
      </c>
      <c r="E34" s="866">
        <v>17242</v>
      </c>
      <c r="F34" s="866">
        <v>77.599999999999994</v>
      </c>
      <c r="G34" s="866">
        <v>115.1</v>
      </c>
      <c r="H34" s="1111">
        <f>D34/G34</f>
        <v>20371.051259774111</v>
      </c>
      <c r="I34" s="1100" t="s">
        <v>185</v>
      </c>
      <c r="J34" s="1303">
        <f t="shared" si="2"/>
        <v>227729.7</v>
      </c>
      <c r="K34" s="1208"/>
      <c r="L34" s="1195"/>
      <c r="M34" s="870">
        <f>'SUM 2016'!D34</f>
        <v>2864517</v>
      </c>
      <c r="N34" s="1204">
        <f t="shared" si="3"/>
        <v>-519809</v>
      </c>
      <c r="O34" s="1290">
        <f>N34/M34</f>
        <v>-0.18146479842849597</v>
      </c>
      <c r="P34" s="885">
        <v>17242</v>
      </c>
      <c r="Q34" s="1198">
        <f t="shared" si="1"/>
        <v>0</v>
      </c>
      <c r="R34" s="1199"/>
      <c r="S34" s="1200"/>
    </row>
    <row r="35" spans="1:20">
      <c r="A35" s="838" t="s">
        <v>324</v>
      </c>
      <c r="B35" s="839"/>
      <c r="C35" s="872" t="s">
        <v>137</v>
      </c>
      <c r="D35" s="865">
        <v>0</v>
      </c>
      <c r="E35" s="866">
        <v>18064.900000000001</v>
      </c>
      <c r="F35" s="866">
        <v>0</v>
      </c>
      <c r="G35" s="866">
        <v>0</v>
      </c>
      <c r="H35" s="1111" t="s">
        <v>389</v>
      </c>
      <c r="I35" s="1100" t="s">
        <v>185</v>
      </c>
      <c r="J35" s="1303">
        <f t="shared" si="2"/>
        <v>238303.97</v>
      </c>
      <c r="K35" s="1208"/>
      <c r="L35" s="1195"/>
      <c r="M35" s="870">
        <f>'SUM 2016'!D35</f>
        <v>1186697</v>
      </c>
      <c r="N35" s="1204">
        <f t="shared" si="3"/>
        <v>-1186697</v>
      </c>
      <c r="O35" s="1273">
        <f>N35/M35</f>
        <v>-1</v>
      </c>
      <c r="P35" s="885">
        <v>18064.5</v>
      </c>
      <c r="Q35" s="1220">
        <f t="shared" si="1"/>
        <v>0.40000000000145519</v>
      </c>
      <c r="R35" s="1199">
        <f>12.85*Q35</f>
        <v>5.1400000000186994</v>
      </c>
      <c r="S35" s="1200"/>
    </row>
    <row r="36" spans="1:20">
      <c r="A36" s="838" t="s">
        <v>333</v>
      </c>
      <c r="B36" s="839"/>
      <c r="C36" s="872" t="s">
        <v>145</v>
      </c>
      <c r="D36" s="865">
        <v>0</v>
      </c>
      <c r="E36" s="866">
        <v>13269</v>
      </c>
      <c r="F36" s="866">
        <v>0</v>
      </c>
      <c r="G36" s="866">
        <v>0</v>
      </c>
      <c r="H36" s="1111" t="s">
        <v>389</v>
      </c>
      <c r="I36" s="1100" t="s">
        <v>185</v>
      </c>
      <c r="J36" s="1303">
        <f t="shared" si="2"/>
        <v>176676.65</v>
      </c>
      <c r="K36" s="1208"/>
      <c r="L36" s="1195"/>
      <c r="M36" s="870">
        <f>'SUM 2016'!D36</f>
        <v>0</v>
      </c>
      <c r="N36" s="1204">
        <f t="shared" si="3"/>
        <v>0</v>
      </c>
      <c r="O36" s="1273"/>
      <c r="P36" s="885">
        <v>13269</v>
      </c>
      <c r="Q36" s="1198">
        <f t="shared" si="1"/>
        <v>0</v>
      </c>
      <c r="R36" s="1199"/>
      <c r="S36" s="1200"/>
    </row>
    <row r="37" spans="1:20">
      <c r="A37" s="838" t="s">
        <v>271</v>
      </c>
      <c r="B37" s="839"/>
      <c r="C37" s="872" t="s">
        <v>138</v>
      </c>
      <c r="D37" s="865">
        <v>0</v>
      </c>
      <c r="E37" s="866">
        <v>2742.1</v>
      </c>
      <c r="F37" s="866">
        <v>0</v>
      </c>
      <c r="G37" s="866">
        <v>0</v>
      </c>
      <c r="H37" s="1111" t="s">
        <v>389</v>
      </c>
      <c r="I37" s="1100" t="s">
        <v>185</v>
      </c>
      <c r="J37" s="1303">
        <f t="shared" si="2"/>
        <v>41405.99</v>
      </c>
      <c r="K37" s="1208"/>
      <c r="L37" s="1195"/>
      <c r="M37" s="870">
        <f>'SUM 2016'!D37</f>
        <v>0</v>
      </c>
      <c r="N37" s="1204">
        <f t="shared" si="3"/>
        <v>0</v>
      </c>
      <c r="O37" s="1273"/>
      <c r="P37" s="885">
        <v>2742.1</v>
      </c>
      <c r="Q37" s="1198">
        <f t="shared" si="1"/>
        <v>0</v>
      </c>
      <c r="R37" s="1199"/>
      <c r="S37" s="1200"/>
    </row>
    <row r="38" spans="1:20">
      <c r="A38" s="838" t="s">
        <v>334</v>
      </c>
      <c r="B38" s="839"/>
      <c r="C38" s="872" t="s">
        <v>165</v>
      </c>
      <c r="D38" s="1248">
        <v>7149478</v>
      </c>
      <c r="E38" s="1249">
        <v>11655</v>
      </c>
      <c r="F38" s="1249">
        <v>121.4</v>
      </c>
      <c r="G38" s="1249">
        <v>208.4</v>
      </c>
      <c r="H38" s="1274">
        <f t="shared" ref="H38:H40" si="4">D38/G38</f>
        <v>34306.51631477927</v>
      </c>
      <c r="I38" s="1100" t="s">
        <v>185</v>
      </c>
      <c r="J38" s="1303">
        <f t="shared" si="2"/>
        <v>155936.75</v>
      </c>
      <c r="K38" s="1208"/>
      <c r="L38" s="1195"/>
      <c r="M38" s="781">
        <f>'SUM 2016'!D38</f>
        <v>6983347</v>
      </c>
      <c r="N38" s="1204">
        <f t="shared" si="3"/>
        <v>166131</v>
      </c>
      <c r="O38" s="1252">
        <f>N38/M38</f>
        <v>2.378959544756977E-2</v>
      </c>
      <c r="P38" s="1250">
        <v>11654.5</v>
      </c>
      <c r="Q38" s="1220">
        <f>E38-P38</f>
        <v>0.5</v>
      </c>
      <c r="R38" s="1199">
        <f>12.85*Q38</f>
        <v>6.4249999999999998</v>
      </c>
      <c r="S38" s="1200"/>
    </row>
    <row r="39" spans="1:20">
      <c r="A39" s="838" t="s">
        <v>401</v>
      </c>
      <c r="B39" s="839"/>
      <c r="C39" s="872" t="s">
        <v>274</v>
      </c>
      <c r="D39" s="865">
        <v>0</v>
      </c>
      <c r="E39" s="866">
        <v>2483.9</v>
      </c>
      <c r="F39" s="866">
        <v>0</v>
      </c>
      <c r="G39" s="866">
        <v>0</v>
      </c>
      <c r="H39" s="1274" t="s">
        <v>389</v>
      </c>
      <c r="I39" s="1100" t="s">
        <v>185</v>
      </c>
      <c r="J39" s="1303">
        <f t="shared" si="2"/>
        <v>38088.120000000003</v>
      </c>
      <c r="K39" s="1208"/>
      <c r="L39" s="1195"/>
      <c r="M39" s="870">
        <f>'SUM 2016'!D39</f>
        <v>0</v>
      </c>
      <c r="N39" s="1204">
        <f t="shared" si="3"/>
        <v>0</v>
      </c>
      <c r="O39" s="1292"/>
      <c r="P39" s="885">
        <v>2483.9</v>
      </c>
      <c r="Q39" s="1198">
        <f t="shared" si="1"/>
        <v>0</v>
      </c>
      <c r="R39" s="1199"/>
      <c r="S39" s="1200"/>
    </row>
    <row r="40" spans="1:20">
      <c r="A40" s="838" t="s">
        <v>402</v>
      </c>
      <c r="B40" s="839"/>
      <c r="C40" s="872" t="s">
        <v>217</v>
      </c>
      <c r="D40" s="865">
        <v>10076011</v>
      </c>
      <c r="E40" s="866">
        <v>11240</v>
      </c>
      <c r="F40" s="866">
        <v>414.3</v>
      </c>
      <c r="G40" s="866">
        <v>514.20000000000005</v>
      </c>
      <c r="H40" s="1274">
        <f t="shared" si="4"/>
        <v>19595.509529366005</v>
      </c>
      <c r="I40" s="1100" t="s">
        <v>185</v>
      </c>
      <c r="J40" s="1303">
        <f t="shared" si="2"/>
        <v>150604</v>
      </c>
      <c r="K40" s="1208"/>
      <c r="L40" s="1195"/>
      <c r="M40" s="870">
        <f>'SUM 2016'!D40</f>
        <v>9299300</v>
      </c>
      <c r="N40" s="1204">
        <f t="shared" si="3"/>
        <v>776711</v>
      </c>
      <c r="O40" s="1252">
        <f>N40/M40</f>
        <v>8.3523598550428527E-2</v>
      </c>
      <c r="P40" s="885">
        <v>11239.7</v>
      </c>
      <c r="Q40" s="1220">
        <f t="shared" si="1"/>
        <v>0.2999999999992724</v>
      </c>
      <c r="R40" s="1199">
        <f>13.05*Q40</f>
        <v>3.914999999990505</v>
      </c>
      <c r="S40" s="1200"/>
    </row>
    <row r="41" spans="1:20">
      <c r="A41" s="838">
        <v>51</v>
      </c>
      <c r="B41" s="839"/>
      <c r="C41" s="872" t="s">
        <v>242</v>
      </c>
      <c r="D41" s="865">
        <v>0</v>
      </c>
      <c r="E41" s="866">
        <v>4293</v>
      </c>
      <c r="F41" s="866">
        <v>0</v>
      </c>
      <c r="G41" s="866">
        <v>0</v>
      </c>
      <c r="H41" s="1260">
        <v>0</v>
      </c>
      <c r="I41" s="1100" t="s">
        <v>185</v>
      </c>
      <c r="J41" s="1303">
        <f t="shared" si="2"/>
        <v>61335.05</v>
      </c>
      <c r="K41" s="1208"/>
      <c r="L41" s="1195"/>
      <c r="M41" s="870">
        <f>'SUM 2016'!D41</f>
        <v>0</v>
      </c>
      <c r="N41" s="1204">
        <f t="shared" si="3"/>
        <v>0</v>
      </c>
      <c r="O41" s="1292"/>
      <c r="P41" s="885">
        <v>4293</v>
      </c>
      <c r="Q41" s="1198">
        <f t="shared" si="1"/>
        <v>0</v>
      </c>
      <c r="R41" s="1199"/>
      <c r="S41" s="1200"/>
    </row>
    <row r="42" spans="1:20">
      <c r="A42" s="838">
        <v>53</v>
      </c>
      <c r="B42" s="839"/>
      <c r="C42" s="872" t="s">
        <v>250</v>
      </c>
      <c r="D42" s="865">
        <v>0</v>
      </c>
      <c r="E42" s="866">
        <v>2308</v>
      </c>
      <c r="F42" s="866">
        <v>0</v>
      </c>
      <c r="G42" s="866">
        <v>0</v>
      </c>
      <c r="H42" s="1260">
        <v>0</v>
      </c>
      <c r="I42" s="1100" t="s">
        <v>185</v>
      </c>
      <c r="J42" s="1303">
        <f t="shared" si="2"/>
        <v>35827.800000000003</v>
      </c>
      <c r="K42" s="1208"/>
      <c r="L42" s="1195"/>
      <c r="M42" s="870">
        <f>'SUM 2016'!D42</f>
        <v>0</v>
      </c>
      <c r="N42" s="1204">
        <f t="shared" si="3"/>
        <v>0</v>
      </c>
      <c r="O42" s="1273"/>
      <c r="P42" s="885">
        <v>2308</v>
      </c>
      <c r="Q42" s="1198">
        <f>E42-P42</f>
        <v>0</v>
      </c>
      <c r="R42" s="1199"/>
      <c r="S42" s="1200"/>
    </row>
    <row r="43" spans="1:20">
      <c r="A43" s="838" t="s">
        <v>346</v>
      </c>
      <c r="B43" s="839"/>
      <c r="C43" s="872" t="s">
        <v>275</v>
      </c>
      <c r="D43" s="865">
        <v>1239905</v>
      </c>
      <c r="E43" s="866">
        <v>3614.3</v>
      </c>
      <c r="F43" s="866">
        <v>61.7</v>
      </c>
      <c r="G43" s="866">
        <v>66</v>
      </c>
      <c r="H43" s="1274">
        <f t="shared" ref="H43" si="5">D43/G43</f>
        <v>18786.439393939392</v>
      </c>
      <c r="I43" s="1100" t="s">
        <v>185</v>
      </c>
      <c r="J43" s="1303">
        <f t="shared" si="2"/>
        <v>52613.760000000002</v>
      </c>
      <c r="K43" s="1208"/>
      <c r="L43" s="1195"/>
      <c r="M43" s="870">
        <f>'SUM 2016'!D43</f>
        <v>1415346</v>
      </c>
      <c r="N43" s="1204">
        <f t="shared" si="3"/>
        <v>-175441</v>
      </c>
      <c r="O43" s="1290">
        <f>N43/M43</f>
        <v>-0.12395626228498191</v>
      </c>
      <c r="P43" s="885">
        <v>3614.3</v>
      </c>
      <c r="Q43" s="1198">
        <f t="shared" ref="Q43:Q44" si="6">E43-P43</f>
        <v>0</v>
      </c>
      <c r="R43" s="1199"/>
      <c r="S43" s="1200"/>
    </row>
    <row r="44" spans="1:20">
      <c r="A44" s="926">
        <v>56</v>
      </c>
      <c r="C44" s="929" t="s">
        <v>309</v>
      </c>
      <c r="D44" s="1275">
        <v>0</v>
      </c>
      <c r="E44" s="1276">
        <v>278.89999999999998</v>
      </c>
      <c r="F44" s="1276">
        <v>0</v>
      </c>
      <c r="G44" s="1276">
        <v>0</v>
      </c>
      <c r="H44" s="1274" t="s">
        <v>389</v>
      </c>
      <c r="I44" s="1311" t="s">
        <v>185</v>
      </c>
      <c r="J44" s="1303">
        <f t="shared" si="2"/>
        <v>9753.8700000000008</v>
      </c>
      <c r="K44" s="1231"/>
      <c r="L44" s="1232"/>
      <c r="M44" s="1275">
        <f>'SUM 2016'!D44</f>
        <v>59120</v>
      </c>
      <c r="N44" s="1204">
        <f t="shared" si="3"/>
        <v>-59120</v>
      </c>
      <c r="O44" s="1273">
        <f t="shared" ref="O44:O45" si="7">N44/M44</f>
        <v>-1</v>
      </c>
      <c r="P44" s="1276">
        <v>278.89999999999998</v>
      </c>
      <c r="Q44" s="1198">
        <f t="shared" si="6"/>
        <v>0</v>
      </c>
      <c r="R44" s="1199"/>
      <c r="S44" s="1200"/>
    </row>
    <row r="45" spans="1:20" ht="19.5" thickBot="1">
      <c r="A45" s="838">
        <v>58</v>
      </c>
      <c r="B45" s="839"/>
      <c r="C45" s="872" t="s">
        <v>310</v>
      </c>
      <c r="D45" s="865">
        <v>3048198</v>
      </c>
      <c r="E45" s="866">
        <v>3424.8</v>
      </c>
      <c r="F45" s="866">
        <v>98.8</v>
      </c>
      <c r="G45" s="1262">
        <v>213.5</v>
      </c>
      <c r="H45" s="1277">
        <f>D45/G45</f>
        <v>14277.274004683841</v>
      </c>
      <c r="I45" s="1271" t="s">
        <v>185</v>
      </c>
      <c r="J45" s="1306">
        <f t="shared" si="2"/>
        <v>50178.68</v>
      </c>
      <c r="K45" s="1229"/>
      <c r="L45" s="1195"/>
      <c r="M45" s="870">
        <f>'SUM 2016'!D45</f>
        <v>2567044</v>
      </c>
      <c r="N45" s="1204">
        <f t="shared" si="3"/>
        <v>481154</v>
      </c>
      <c r="O45" s="1252">
        <f t="shared" si="7"/>
        <v>0.18743504201719954</v>
      </c>
      <c r="P45" s="1264">
        <v>3424.8</v>
      </c>
      <c r="Q45" s="1198">
        <f t="shared" si="1"/>
        <v>0</v>
      </c>
      <c r="R45" s="1199"/>
      <c r="S45" s="1200"/>
    </row>
    <row r="46" spans="1:20" s="860" customFormat="1" ht="19.5" thickTop="1">
      <c r="A46" s="851"/>
      <c r="B46" s="852"/>
      <c r="C46" s="853" t="s">
        <v>282</v>
      </c>
      <c r="D46" s="899">
        <f>SUM(D33:D45)</f>
        <v>23858300</v>
      </c>
      <c r="E46" s="900">
        <f>ROUND(SUM(E33:E45),2)</f>
        <v>94979</v>
      </c>
      <c r="F46" s="900">
        <f>SUM(F33:F45)</f>
        <v>773.8</v>
      </c>
      <c r="G46" s="861">
        <f>SUM(G33:G45)</f>
        <v>1117.2</v>
      </c>
      <c r="H46" s="964"/>
      <c r="I46" s="1087" t="s">
        <v>185</v>
      </c>
      <c r="J46" s="1302">
        <f>SUM(J33:J45)</f>
        <v>1300690.1800000002</v>
      </c>
      <c r="K46" s="1194"/>
      <c r="L46" s="1195"/>
      <c r="M46" s="899">
        <f>'SUM 2016'!D46</f>
        <v>24375371</v>
      </c>
      <c r="N46" s="1209">
        <f t="shared" si="3"/>
        <v>-517071</v>
      </c>
      <c r="O46" s="1272">
        <f>N46/M46</f>
        <v>-2.1212846360369242E-2</v>
      </c>
      <c r="P46" s="900">
        <f>SUM(P33:P45)</f>
        <v>94977.799999999988</v>
      </c>
      <c r="Q46" s="1198"/>
      <c r="R46" s="1199">
        <f>SUM(R4:R45)</f>
        <v>15.480000000009204</v>
      </c>
      <c r="S46" s="1200"/>
      <c r="T46" s="927"/>
    </row>
    <row r="47" spans="1:20">
      <c r="A47" s="829" t="s">
        <v>86</v>
      </c>
      <c r="B47" s="830"/>
      <c r="C47" s="831"/>
      <c r="D47" s="1201"/>
      <c r="E47" s="1202"/>
      <c r="F47" s="1202"/>
      <c r="G47" s="1222"/>
      <c r="H47" s="1223"/>
      <c r="I47" s="1224"/>
      <c r="J47" s="1310"/>
      <c r="K47" s="1225"/>
      <c r="L47" s="1195"/>
      <c r="M47" s="870">
        <f>'SUM 2016'!D47</f>
        <v>0</v>
      </c>
      <c r="N47" s="1204"/>
      <c r="O47" s="1272"/>
      <c r="P47" s="1259"/>
      <c r="Q47" s="1198"/>
      <c r="R47" s="1199"/>
      <c r="S47" s="1233">
        <f>SUM(R4:R45)</f>
        <v>15.480000000009204</v>
      </c>
      <c r="T47" s="921" t="s">
        <v>359</v>
      </c>
    </row>
    <row r="48" spans="1:20" ht="19.5" thickBot="1">
      <c r="A48" s="901" t="s">
        <v>403</v>
      </c>
      <c r="B48" s="902"/>
      <c r="C48" s="930" t="s">
        <v>139</v>
      </c>
      <c r="D48" s="1261">
        <v>1992150</v>
      </c>
      <c r="E48" s="1262">
        <v>6081</v>
      </c>
      <c r="F48" s="1262">
        <v>119.4</v>
      </c>
      <c r="G48" s="1262">
        <v>104.4</v>
      </c>
      <c r="H48" s="1270">
        <f>D48/G48</f>
        <v>19081.896551724138</v>
      </c>
      <c r="I48" s="1271" t="s">
        <v>185</v>
      </c>
      <c r="J48" s="1306">
        <f>ROUND(6170+12.85*E48,2)</f>
        <v>84310.85</v>
      </c>
      <c r="K48" s="1229"/>
      <c r="L48" s="1195"/>
      <c r="M48" s="934">
        <f>'SUM 2016'!D48</f>
        <v>2123225</v>
      </c>
      <c r="N48" s="1206">
        <f>D48-M48</f>
        <v>-131075</v>
      </c>
      <c r="O48" s="1290">
        <f>N48/M48</f>
        <v>-6.173391892051007E-2</v>
      </c>
      <c r="P48" s="1264">
        <v>6081</v>
      </c>
      <c r="Q48" s="1198">
        <f t="shared" si="1"/>
        <v>0</v>
      </c>
      <c r="R48" s="1199"/>
      <c r="S48" s="1200"/>
    </row>
    <row r="49" spans="1:20" ht="20.25" thickTop="1" thickBot="1">
      <c r="A49" s="1942" t="s">
        <v>44</v>
      </c>
      <c r="B49" s="1943"/>
      <c r="C49" s="1944"/>
      <c r="D49" s="975">
        <f>SUM(D4,D6,D11,D15,D19,D23,D27,D31,D46,D48)</f>
        <v>35415535</v>
      </c>
      <c r="E49" s="911">
        <f>SUM(E4,E6,E11,E15,E19,E23,E27,E31,E46,E48)</f>
        <v>176377.40000000002</v>
      </c>
      <c r="F49" s="911">
        <f>SUM(F4,F6,F11,F15,F19,F23,F27,F31,F46,F48)</f>
        <v>1780.16</v>
      </c>
      <c r="G49" s="911">
        <f>SUM(G4,G6,G11,G15,G19,G23,G27,G31,G46,G48)</f>
        <v>2188.98</v>
      </c>
      <c r="H49" s="976">
        <f>D49/G49</f>
        <v>16179.012599475554</v>
      </c>
      <c r="I49" s="906" t="s">
        <v>185</v>
      </c>
      <c r="J49" s="1312">
        <f>SUM(J4,J6,J11,J15,J19,J23,J27,J31,J46,J48)</f>
        <v>2445379.65</v>
      </c>
      <c r="K49" s="1210"/>
      <c r="L49" s="1232"/>
      <c r="M49" s="975">
        <f>'SUM 2016'!D49</f>
        <v>39139879</v>
      </c>
      <c r="N49" s="1211">
        <f>D49-M49</f>
        <v>-3724344</v>
      </c>
      <c r="O49" s="1361">
        <f>N49/M49</f>
        <v>-9.515471419827333E-2</v>
      </c>
      <c r="P49" s="1295">
        <f>SUM(P4,P6,P11,P15,P19,P23,P27,P31,P46,P48)</f>
        <v>176376.2</v>
      </c>
      <c r="Q49" s="1198">
        <f t="shared" si="1"/>
        <v>1.2000000000116415</v>
      </c>
      <c r="R49" s="1197">
        <f>Q49/P49</f>
        <v>6.8036390398003896E-6</v>
      </c>
      <c r="S49" s="1217"/>
      <c r="T49" s="793"/>
    </row>
    <row r="50" spans="1:20">
      <c r="D50" s="1213"/>
      <c r="E50" s="1212"/>
      <c r="F50" s="1212"/>
      <c r="G50" s="1212"/>
      <c r="H50" s="1213"/>
      <c r="I50" s="1214"/>
      <c r="J50" s="1234"/>
      <c r="K50" s="1214"/>
      <c r="L50" s="1232"/>
      <c r="M50" s="1213"/>
      <c r="N50" s="1217"/>
      <c r="O50" s="1235"/>
      <c r="P50" s="1212"/>
      <c r="Q50" s="1198"/>
      <c r="R50" s="1217"/>
      <c r="S50" s="1217"/>
      <c r="T50" s="793"/>
    </row>
    <row r="51" spans="1:20">
      <c r="D51" s="1213"/>
      <c r="E51" s="1212"/>
      <c r="F51" s="1212"/>
      <c r="G51" s="1212"/>
      <c r="H51" s="1213"/>
      <c r="I51" s="1214"/>
      <c r="J51" s="1234"/>
      <c r="K51" s="1214"/>
      <c r="L51" s="1232"/>
      <c r="M51" s="1213"/>
      <c r="N51" s="1200"/>
      <c r="O51" s="1197"/>
      <c r="P51" s="1212"/>
      <c r="Q51" s="1198"/>
      <c r="R51" s="1217"/>
      <c r="S51" s="1217"/>
      <c r="T51" s="793"/>
    </row>
    <row r="52" spans="1:20">
      <c r="D52" s="1213"/>
      <c r="E52" s="1212"/>
      <c r="F52" s="1236" t="s">
        <v>318</v>
      </c>
      <c r="G52" s="1212">
        <f>G49-'SUM 2016'!G49</f>
        <v>-231.40000000000009</v>
      </c>
      <c r="H52" s="1213"/>
      <c r="I52" s="1214"/>
      <c r="J52" s="1234">
        <f>ROUNDUP((29*6170)+(E49*12.85),1)</f>
        <v>2445379.6</v>
      </c>
      <c r="K52" s="1214"/>
      <c r="L52" s="1232"/>
      <c r="M52" s="1213"/>
      <c r="N52" s="1197"/>
      <c r="O52" s="1197"/>
      <c r="P52" s="1212">
        <f>'SUM 2016'!G49-G49</f>
        <v>231.40000000000009</v>
      </c>
      <c r="Q52" s="1237">
        <f>P52/'SUM 2016'!G49</f>
        <v>9.5604822383262164E-2</v>
      </c>
      <c r="R52" s="1217"/>
      <c r="S52" s="1217"/>
      <c r="T52" s="793"/>
    </row>
    <row r="53" spans="1:20">
      <c r="D53" s="1213"/>
      <c r="E53" s="1212"/>
      <c r="F53" s="1236" t="s">
        <v>319</v>
      </c>
      <c r="G53" s="1238">
        <f>G52/'SUM 2016'!G49</f>
        <v>-9.5604822383262164E-2</v>
      </c>
      <c r="H53" s="1213"/>
      <c r="I53" s="1214"/>
      <c r="J53" s="1234">
        <f>J52-J49</f>
        <v>-4.9999999813735485E-2</v>
      </c>
      <c r="K53" s="1239" t="s">
        <v>283</v>
      </c>
      <c r="L53" s="1232"/>
      <c r="M53" s="1213"/>
      <c r="N53" s="1217"/>
      <c r="O53" s="1197"/>
      <c r="P53" s="1212" t="s">
        <v>443</v>
      </c>
      <c r="Q53" s="1198"/>
      <c r="R53" s="1217"/>
      <c r="S53" s="1217"/>
      <c r="T53" s="793"/>
    </row>
    <row r="54" spans="1:20">
      <c r="Q54" s="1212" t="s">
        <v>444</v>
      </c>
    </row>
    <row r="55" spans="1:20">
      <c r="M55" s="1300"/>
      <c r="N55" s="1110"/>
      <c r="S55" s="793"/>
      <c r="T55" s="793"/>
    </row>
    <row r="56" spans="1:20">
      <c r="M56" s="1109"/>
      <c r="N56" s="1110"/>
    </row>
    <row r="57" spans="1:20">
      <c r="M57" s="1109"/>
      <c r="N57" s="1110"/>
    </row>
    <row r="58" spans="1:20">
      <c r="M58" s="1109"/>
      <c r="N58" s="1110"/>
    </row>
    <row r="59" spans="1:20">
      <c r="M59" s="1109"/>
      <c r="N59" s="1110"/>
    </row>
    <row r="60" spans="1:20">
      <c r="M60" s="1109"/>
      <c r="N60" s="1110"/>
    </row>
    <row r="61" spans="1:20">
      <c r="M61" s="1109"/>
      <c r="N61" s="1110"/>
    </row>
  </sheetData>
  <mergeCells count="16">
    <mergeCell ref="O1:O2"/>
    <mergeCell ref="P1:P2"/>
    <mergeCell ref="Q1:Q2"/>
    <mergeCell ref="A49:C49"/>
    <mergeCell ref="H1:H2"/>
    <mergeCell ref="I1:I2"/>
    <mergeCell ref="J1:J2"/>
    <mergeCell ref="K1:K2"/>
    <mergeCell ref="M1:M2"/>
    <mergeCell ref="N1:N2"/>
    <mergeCell ref="A1:B2"/>
    <mergeCell ref="C1:C2"/>
    <mergeCell ref="D1:D2"/>
    <mergeCell ref="E1:E2"/>
    <mergeCell ref="F1:F2"/>
    <mergeCell ref="G1:G2"/>
  </mergeCells>
  <printOptions horizontalCentered="1"/>
  <pageMargins left="0.2" right="0.2" top="0.75" bottom="0.5" header="0.3" footer="0.3"/>
  <pageSetup paperSize="17" fitToHeight="0" orientation="landscape" r:id="rId1"/>
  <headerFooter>
    <oddHeader>&amp;C&amp;"Arial,Bold"&amp;14Summary of 2017 Annual Coal Production and Acres Bonded, Disturbed, and Mined</oddHeader>
    <oddFooter>&amp;L&amp;D</oddFooter>
  </headerFooter>
  <ignoredErrors>
    <ignoredError sqref="H6 H14" unlocked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4 J A A B Q S w M E F A A C A A g A u W O U U i e G G u K i A A A A 9 Q A A A B I A H A B D b 2 5 m a W c v U G F j a 2 F n Z S 5 4 b W w g o h g A K K A U A A A A A A A A A A A A A A A A A A A A A A A A A A A A h Y + x D o I w F E V / h X S n L X V R 8 i i D q y Q m R O P a Q I V G e B h a L P / m 4 C f 5 C 2 I U d X O 8 5 5 7 h 3 v v 1 B u n Y N s F F 9 9 Z 0 m J C I c h J o L L r S Y J W Q w R 3 D J U k l b F V x U p U O J h l t P N o y I b V z 5 5 g x 7 z 3 1 C 9 r 1 F R O c R + y Q b f K i 1 q 0 i H 9 n 8 l 0 O D 1 i k s N J G w f 4 2 R g q 4 i K r i g H N j M I D P 4 7 c U 0 9 9 n + Q F g P j R t 6 L T W G u x z Y H I G 9 L 8 g H U E s D B B Q A A g A I A L l j l F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5 Y 5 R S 6 Q l + 6 g o G A A D 1 U A A A E w A c A E Z v c m 1 1 b G F z L 1 N l Y 3 R p b 2 4 x L m 0 g o h g A K K A U A A A A A A A A A A A A A A A A A A A A A A A A A A A A 7 Z z t T + J I H M f f m / g / T D x v g w n B T o t Q 7 u I L D n W P 3 L o a Y X O 3 U b O p M K y 9 L S 1 p h 4 v G + L / f t E X o w 8 z 0 g R G n K 7 x R 5 n m m v + + n 0 / Z b P D T C p m O D Q f g X / r 6 7 s 7 v j 3 R s u G o N f 9 g Z f z o G q w K M 9 c A w s h H d 3 A P k M n L k 7 Q i T l 9 G G E r M b f j v v j z n F + 1 M 5 M C z V 6 j o 2 R j b 3 a 3 t l v N z 1 k I Q + j m + 5 4 a t o 3 X d u e G x a Y u c 5 4 H n T 2 Y Y K Q / / V f 0 r d 3 o y q q c t O 7 6 H 6 6 v L o 4 w f f u 3 E 9 o P F j e w 9 5 B H d h z y 6 o D 7 M 7 R Q T 0 c x m p 0 3 w b 3 C G F / j O H Q n q 7 7 G E 2 P V 6 O v / 2 X a Y / I 9 K H b 7 f H 1 i Y O N 2 2 c y l 6 0 w d T O b 7 J z L G y P X 8 h o b G H Z n M I m e R X k v 1 W A f X i y J d y x q M D M t w v W N / j L e r Q f b u D f s 7 a X z 4 O E O r l o e u Y X s T x 5 3 2 H G s + t f 1 M v / 3 U U O p P T 3 s 9 Z z o z 7 E f S G y b F A P n 3 u Q 7 8 Z L + m m k w G 4 N y 0 E X h J x u g B B + n + s M H l c u 1 B b X D v u B g M H d s 7 I I X 7 N m 4 1 G / 4 4 g t L d k Y s 8 M v 4 / H H u M x i + N 2 f P p H X I j B U 5 M D 8 / d u 1 W J l 1 G 8 1 A 8 G Q 6 u / 6 v 0 Q R D 9 + R W a l 9 K y G D i Y h d Y Z I Z 2 Q 9 L B J I Z P F o N b / B V N 1 w A W F q B c l K N f O v 1 I k 5 m S A X 2 S O U z v s V m D a Z j + E h S h 9 H i 8 U F 4 V r V u h 8 u D y g j X 4 y y z c 7 S 2 V k d R t A o j M V Q W a u k q u n Z L X I 0 V p U m o / O j e F P P B 7 s 7 p k 2 V C x V G L a l h 1 M q A U U s 4 j F r V h F G r k j B a T m x T J C r A 7 G I k i g w p O B o C Y Z T o + w r N y K j T a / g T s K g t N Y v a G S x q C 2 d R u 5 o s a m 9 Z l I d F B Z C 9 D o v a H B b F j / E K R I l 0 P Z m e l 0 G J d C 6 C a B U 0 J p p i B C r K G V 1 q z u g Z n N G F c 0 a v J m f 0 L W e W d c f m B O x 7 L A K 8 / u W X n m / H Q y 8 J / v N n 3 K B V 2 O 8 5 H g a O C 7 6 6 w C X y I 7 3 T l l / 2 T V F p V H W k R l U n A 1 U d 4 a j q V B N V n U q i K l K J y 6 b k b k e h Q S s D W T G W C O b V I R i j 8 L 8 6 e E S G C z z s z G Z k A k Q b p v 2 9 7 v M l S H 8 h D J i Q a A B 3 5 A h Q h t f J j T p K y S z U V e 9 6 j 5 b e Y q S 3 1 0 A h m a n E K F Q V P g r 9 4 y Q W h c s e q 4 V C V d m i M D 8 K C 5 w 3 3 g C F 5 F j m R C G t Z A 4 U C t / m J S q o r A o a o 0 K T V W E t E k b S 9 R K E J D x Q F U W R k I 6 L k Y W g o p H R z x U F x l h n m 4 F i s O z D 0 3 + 6 A / C p / / F z f 3 g K / J X 5 0 h v 2 L z 7 7 s z / v X n 1 l h Q w j n R F 6 j F M w I + 4 Y Y c e I u t T 9 n T C 5 U z o W o b S x C L m x C D N i s U D E x L o L T 6 D B C e E d R o M q b T S o 3 G h Q x Z J J 3 S S Z E t u 1 Z V S x N m b s b Q Z 9 z x X 9 s D Z K Z I s U 2 S H V 9 q G q H P q 1 a a 3 6 e 7 g G 2 R x w s l Z 3 v W i Z K i W T T G r m + H s Y M p L S 0 a t J G 7 0 a N 3 o 1 s d G r V T N 6 U 5 v k x a V C u A 9 l h n c Q 0 m T v b Z L t M H a A f q j B Q 0 X L K N 6 d Y O R y y o Y X D p E a 1 D L k W s Q v w r v w 4 N 8 e 3 q i U I p c 6 j H M S L H P / M 4 y 5 p r T S a 3 K l 1 x Q r v e Z W e s 0 C 0 q O V X V d 6 n I c 1 c o q R s R O E r d J i P J J W j E d c M Q r z q 8 Y 6 q 7 g Y G T f O 6 O r 6 2 b X C u M a C Z T w G Y Z C 0 p N V K i 6 s V Y X b K W G d v e o N a k F S K 3 o J + n 0 r K 3 A I m b 4 8 z 7 k z A M g + K w p h r S y u 9 N l d 6 w t y D s c 6 q 9 W x I K e w c f D V Z i n 6 h I r e j J y E E i n F Q E W Q c T G o z 9 s C G H A r + A q 1 a p s K C 8 T J F I S n r 0 k p Z 5 0 p Z m E E v 1 l n F p F z Y n P c u p S z I m s e X c k 5 v X u T U S 2 9 + L T F 3 p B V z h y t m Y R a 2 W G c V E 3 N h + 9 q 7 F H N Z 3 x p D i A w 1 5 7 S f 5 V J z 8 X d 1 g i i G 0 n o N I N d r A M V 6 D e B G v Q b C v K g b M G D R H h d K p + g c 7 + g U A V 9 a 0 q y L 4 L h J N K e H 6 l X 1 L K 1 f A 3 L 9 G j D L r 1 F Q z 7 C S e o Z V N 1 R u S M x F w M c W c 9 b r d l A C O U t r u I F c w w 0 U a 7 i B b 2 m 4 K S 9 n d S v n f H I u w L 1 1 3 p 9 V X 0 f Q k R z e z 4 q U R Y C 0 r i X I d S 1 B s a 4 l + J a u p f I I 0 L Y I y I e A A q x c B w H a 5 h C Q t A X H X q U v R A B p z V O Q a 5 6 C Y s 1 T 8 C 3 N U + U J U O A X s 9 4 3 A Q q g s v S 7 7 U 0 Z f l p M x E 9 p 0 N I F / J T P / 1 B L A Q I t A B Q A A g A I A L l j l F I n h h r i o g A A A P U A A A A S A A A A A A A A A A A A A A A A A A A A A A B D b 2 5 m a W c v U G F j a 2 F n Z S 5 4 b W x Q S w E C L Q A U A A I A C A C 5 Y 5 R S D 8 r p q 6 Q A A A D p A A A A E w A A A A A A A A A A A A A A A A D u A A A A W 0 N v b n R l b n R f V H l w Z X N d L n h t b F B L A Q I t A B Q A A g A I A L l j l F L p C X 7 q C g Y A A P V Q A A A T A A A A A A A A A A A A A A A A A N 8 B A A B G b 3 J t d W x h c y 9 T Z W N 0 a W 9 u M S 5 t U E s F B g A A A A A D A A M A w g A A A D Y I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g p 3 A Q A A A A A A 6 H Y B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N V T S U y M D I w M T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y M F Q x N j o 1 M z o 0 M S 4 w M j g w O D Y 3 W i I g L z 4 8 R W 5 0 c n k g V H l w Z T 0 i R m l s b E N v b H V t b l R 5 c G V z I i B W Y W x 1 Z T 0 i c 0 F B Q U d B d 1 V B Q l F V R 0 J R W U F B d 0 1 B Q l F V R k F B W U d B d 1 l B Q X c 9 P S I g L z 4 8 R W 5 0 c n k g V H l w Z T 0 i R m l s b E N v b H V t b k 5 h b W V z I i B W Y W x 1 Z T 0 i c 1 s m c X V v d D t D b 2 1 w Y W 5 5 J n F 1 b 3 Q 7 L C Z x d W 9 0 O 0 N v b H V t b j I m c X V v d D s s J n F 1 b 3 Q 7 I C B N a W 5 l I C Z x d W 9 0 O y w m c X V v d D s y M D E 1 I F B y b 2 R 1 Y 3 R p b 2 4 g K F N o b 3 J 0 I F R v b n M p J n F 1 b 3 Q 7 L C Z x d W 9 0 O 0 F j c m V z I C A g Q m 9 u Z G V k J n F 1 b 3 Q 7 L C Z x d W 9 0 O 0 F j c m V z I E R p c 3 R 1 c m J l Z C Z x d W 9 0 O y w m c X V v d D t B Y 3 J l c y A g I C B N a W 5 l Z C Z x d W 9 0 O y w m c X V v d D t T a G 9 y d C B U b 2 5 z L y A g I C A g I C A g I C A g I C B B Y 3 J l I E 1 p b m V k J n F 1 b 3 Q 7 L C Z x d W 9 0 O y A m c X V v d D s s J n F 1 b 3 Q 7 V G 9 0 Y W w g R m V l c y B D b 2 x s Z W N 0 Z W Q g J n F 1 b 3 Q 7 L C Z x d W 9 0 O y B f M S Z x d W 9 0 O y w m c X V v d D t D b 2 x 1 b W 4 x M i Z x d W 9 0 O y w m c X V v d D s y M D E 0 I F B y b 2 R 1 Y 3 R p b 2 4 g K F N o b 3 J 0 I F R v b n M p J n F 1 b 3 Q 7 L C Z x d W 9 0 O 0 R p Z m Z l c m V u Y 2 U m c X V v d D s s J n F 1 b 3 Q 7 J S B p b m N y Z W F z Z S Z x d W 9 0 O y w m c X V v d D s y M D E 1 I E J v b m R l Z C B B Y 3 J l c y A o Q V x 1 M D A y N l A p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T S A y M D E 1 L 0 N o Y W 5 n Z W Q g V H l w Z S 5 7 Q 2 9 t c G F u e S w w f S Z x d W 9 0 O y w m c X V v d D t T Z W N 0 a W 9 u M S 9 T V U 0 g M j A x N S 9 D a G F u Z 2 V k I F R 5 c G U u e 0 N v b H V t b j I s M X 0 m c X V v d D s s J n F 1 b 3 Q 7 U 2 V j d G l v b j E v U 1 V N I D I w M T U v Q 2 h h b m d l Z C B U e X B l L n s g I E 1 p b m U g L D J 9 J n F 1 b 3 Q 7 L C Z x d W 9 0 O 1 N l Y 3 R p b 2 4 x L 1 N V T S A y M D E 1 L 0 N o Y W 5 n Z W Q g V H l w Z S 5 7 M j A x N S B Q c m 9 k d W N 0 a W 9 u I C h T a G 9 y d C B U b 2 5 z K S w z f S Z x d W 9 0 O y w m c X V v d D t T Z W N 0 a W 9 u M S 9 T V U 0 g M j A x N S 9 D a G F u Z 2 V k I F R 5 c G U u e 0 F j c m V z I C A g Q m 9 u Z G V k L D R 9 J n F 1 b 3 Q 7 L C Z x d W 9 0 O 1 N l Y 3 R p b 2 4 x L 1 N V T S A y M D E 1 L 0 N o Y W 5 n Z W Q g V H l w Z S 5 7 Q W N y Z X M g R G l z d H V y Y m V k L D V 9 J n F 1 b 3 Q 7 L C Z x d W 9 0 O 1 N l Y 3 R p b 2 4 x L 1 N V T S A y M D E 1 L 0 N o Y W 5 n Z W Q g V H l w Z S 5 7 Q W N y Z X M g I C A g T W l u Z W Q s N n 0 m c X V v d D s s J n F 1 b 3 Q 7 U 2 V j d G l v b j E v U 1 V N I D I w M T U v Q 2 h h b m d l Z C B U e X B l L n t T a G 9 y d C B U b 2 5 z L y A g I C A g I C A g I C A g I C B B Y 3 J l I E 1 p b m V k L D d 9 J n F 1 b 3 Q 7 L C Z x d W 9 0 O 1 N l Y 3 R p b 2 4 x L 1 N V T S A y M D E 1 L 0 N o Y W 5 n Z W Q g V H l w Z S 5 7 I C w 4 f S Z x d W 9 0 O y w m c X V v d D t T Z W N 0 a W 9 u M S 9 T V U 0 g M j A x N S 9 D a G F u Z 2 V k I F R 5 c G U u e 1 R v d G F s I E Z l Z X M g Q 2 9 s b G V j d G V k I C w 5 f S Z x d W 9 0 O y w m c X V v d D t T Z W N 0 a W 9 u M S 9 T V U 0 g M j A x N S 9 D a G F u Z 2 V k I F R 5 c G U u e y B f M S w x M H 0 m c X V v d D s s J n F 1 b 3 Q 7 U 2 V j d G l v b j E v U 1 V N I D I w M T U v Q 2 h h b m d l Z C B U e X B l L n t D b 2 x 1 b W 4 x M i w x M X 0 m c X V v d D s s J n F 1 b 3 Q 7 U 2 V j d G l v b j E v U 1 V N I D I w M T U v Q 2 h h b m d l Z C B U e X B l L n s y M D E 0 I F B y b 2 R 1 Y 3 R p b 2 4 g K F N o b 3 J 0 I F R v b n M p L D E y f S Z x d W 9 0 O y w m c X V v d D t T Z W N 0 a W 9 u M S 9 T V U 0 g M j A x N S 9 D a G F u Z 2 V k I F R 5 c G U u e 0 R p Z m Z l c m V u Y 2 U s M T N 9 J n F 1 b 3 Q 7 L C Z x d W 9 0 O 1 N l Y 3 R p b 2 4 x L 1 N V T S A y M D E 1 L 0 N o Y W 5 n Z W Q g V H l w Z S 5 7 J S B p b m N y Z W F z Z S w x N H 0 m c X V v d D s s J n F 1 b 3 Q 7 U 2 V j d G l v b j E v U 1 V N I D I w M T U v Q 2 h h b m d l Z C B U e X B l L n s y M D E 1 I E J v b m R l Z C B B Y 3 J l c y A o Q V x 1 M D A y N l A p L D E 1 f S Z x d W 9 0 O y w m c X V v d D t T Z W N 0 a W 9 u M S 9 T V U 0 g M j A x N S 9 D a G F u Z 2 V k I F R 5 c G U u e 0 N v b H V t b j E 3 L D E 2 f S Z x d W 9 0 O y w m c X V v d D t T Z W N 0 a W 9 u M S 9 T V U 0 g M j A x N S 9 D a G F u Z 2 V k I F R 5 c G U u e 0 N v b H V t b j E 4 L D E 3 f S Z x d W 9 0 O y w m c X V v d D t T Z W N 0 a W 9 u M S 9 T V U 0 g M j A x N S 9 D a G F u Z 2 V k I F R 5 c G U u e 0 N v b H V t b j E 5 L D E 4 f S Z x d W 9 0 O y w m c X V v d D t T Z W N 0 a W 9 u M S 9 T V U 0 g M j A x N S 9 D a G F u Z 2 V k I F R 5 c G U u e 0 N v b H V t b j I w L D E 5 f S Z x d W 9 0 O y w m c X V v d D t T Z W N 0 a W 9 u M S 9 T V U 0 g M j A x N S 9 D a G F u Z 2 V k I F R 5 c G U u e 0 N v b H V t b j I x L D I w f S Z x d W 9 0 O y w m c X V v d D t T Z W N 0 a W 9 u M S 9 T V U 0 g M j A x N S 9 D a G F u Z 2 V k I F R 5 c G U u e 0 N v b H V t b j I y L D I x f S Z x d W 9 0 O y w m c X V v d D t T Z W N 0 a W 9 u M S 9 T V U 0 g M j A x N S 9 D a G F u Z 2 V k I F R 5 c G U u e 0 N v b H V t b j I z L D I y f S Z x d W 9 0 O y w m c X V v d D t T Z W N 0 a W 9 u M S 9 T V U 0 g M j A x N S 9 D a G F u Z 2 V k I F R 5 c G U u e 0 N v b H V t b j I 0 L D I z f S Z x d W 9 0 O y w m c X V v d D t T Z W N 0 a W 9 u M S 9 T V U 0 g M j A x N S 9 D a G F u Z 2 V k I F R 5 c G U u e 0 N v b H V t b j I 1 L D I 0 f S Z x d W 9 0 O 1 0 s J n F 1 b 3 Q 7 Q 2 9 s d W 1 u Q 2 9 1 b n Q m c X V v d D s 6 M j U s J n F 1 b 3 Q 7 S 2 V 5 Q 2 9 s d W 1 u T m F t Z X M m c X V v d D s 6 W 1 0 s J n F 1 b 3 Q 7 Q 2 9 s d W 1 u S W R l b n R p d G l l c y Z x d W 9 0 O z p b J n F 1 b 3 Q 7 U 2 V j d G l v b j E v U 1 V N I D I w M T U v Q 2 h h b m d l Z C B U e X B l L n t D b 2 1 w Y W 5 5 L D B 9 J n F 1 b 3 Q 7 L C Z x d W 9 0 O 1 N l Y 3 R p b 2 4 x L 1 N V T S A y M D E 1 L 0 N o Y W 5 n Z W Q g V H l w Z S 5 7 Q 2 9 s d W 1 u M i w x f S Z x d W 9 0 O y w m c X V v d D t T Z W N 0 a W 9 u M S 9 T V U 0 g M j A x N S 9 D a G F u Z 2 V k I F R 5 c G U u e y A g T W l u Z S A s M n 0 m c X V v d D s s J n F 1 b 3 Q 7 U 2 V j d G l v b j E v U 1 V N I D I w M T U v Q 2 h h b m d l Z C B U e X B l L n s y M D E 1 I F B y b 2 R 1 Y 3 R p b 2 4 g K F N o b 3 J 0 I F R v b n M p L D N 9 J n F 1 b 3 Q 7 L C Z x d W 9 0 O 1 N l Y 3 R p b 2 4 x L 1 N V T S A y M D E 1 L 0 N o Y W 5 n Z W Q g V H l w Z S 5 7 Q W N y Z X M g I C B C b 2 5 k Z W Q s N H 0 m c X V v d D s s J n F 1 b 3 Q 7 U 2 V j d G l v b j E v U 1 V N I D I w M T U v Q 2 h h b m d l Z C B U e X B l L n t B Y 3 J l c y B E a X N 0 d X J i Z W Q s N X 0 m c X V v d D s s J n F 1 b 3 Q 7 U 2 V j d G l v b j E v U 1 V N I D I w M T U v Q 2 h h b m d l Z C B U e X B l L n t B Y 3 J l c y A g I C B N a W 5 l Z C w 2 f S Z x d W 9 0 O y w m c X V v d D t T Z W N 0 a W 9 u M S 9 T V U 0 g M j A x N S 9 D a G F u Z 2 V k I F R 5 c G U u e 1 N o b 3 J 0 I F R v b n M v I C A g I C A g I C A g I C A g I E F j c m U g T W l u Z W Q s N 3 0 m c X V v d D s s J n F 1 b 3 Q 7 U 2 V j d G l v b j E v U 1 V N I D I w M T U v Q 2 h h b m d l Z C B U e X B l L n s g L D h 9 J n F 1 b 3 Q 7 L C Z x d W 9 0 O 1 N l Y 3 R p b 2 4 x L 1 N V T S A y M D E 1 L 0 N o Y W 5 n Z W Q g V H l w Z S 5 7 V G 9 0 Y W w g R m V l c y B D b 2 x s Z W N 0 Z W Q g L D l 9 J n F 1 b 3 Q 7 L C Z x d W 9 0 O 1 N l Y 3 R p b 2 4 x L 1 N V T S A y M D E 1 L 0 N o Y W 5 n Z W Q g V H l w Z S 5 7 I F 8 x L D E w f S Z x d W 9 0 O y w m c X V v d D t T Z W N 0 a W 9 u M S 9 T V U 0 g M j A x N S 9 D a G F u Z 2 V k I F R 5 c G U u e 0 N v b H V t b j E y L D E x f S Z x d W 9 0 O y w m c X V v d D t T Z W N 0 a W 9 u M S 9 T V U 0 g M j A x N S 9 D a G F u Z 2 V k I F R 5 c G U u e z I w M T Q g U H J v Z H V j d G l v b i A o U 2 h v c n Q g V G 9 u c y k s M T J 9 J n F 1 b 3 Q 7 L C Z x d W 9 0 O 1 N l Y 3 R p b 2 4 x L 1 N V T S A y M D E 1 L 0 N o Y W 5 n Z W Q g V H l w Z S 5 7 R G l m Z m V y Z W 5 j Z S w x M 3 0 m c X V v d D s s J n F 1 b 3 Q 7 U 2 V j d G l v b j E v U 1 V N I D I w M T U v Q 2 h h b m d l Z C B U e X B l L n s l I G l u Y 3 J l Y X N l L D E 0 f S Z x d W 9 0 O y w m c X V v d D t T Z W N 0 a W 9 u M S 9 T V U 0 g M j A x N S 9 D a G F u Z 2 V k I F R 5 c G U u e z I w M T U g Q m 9 u Z G V k I E F j c m V z I C h B X H U w M D I 2 U C k s M T V 9 J n F 1 b 3 Q 7 L C Z x d W 9 0 O 1 N l Y 3 R p b 2 4 x L 1 N V T S A y M D E 1 L 0 N o Y W 5 n Z W Q g V H l w Z S 5 7 Q 2 9 s d W 1 u M T c s M T Z 9 J n F 1 b 3 Q 7 L C Z x d W 9 0 O 1 N l Y 3 R p b 2 4 x L 1 N V T S A y M D E 1 L 0 N o Y W 5 n Z W Q g V H l w Z S 5 7 Q 2 9 s d W 1 u M T g s M T d 9 J n F 1 b 3 Q 7 L C Z x d W 9 0 O 1 N l Y 3 R p b 2 4 x L 1 N V T S A y M D E 1 L 0 N o Y W 5 n Z W Q g V H l w Z S 5 7 Q 2 9 s d W 1 u M T k s M T h 9 J n F 1 b 3 Q 7 L C Z x d W 9 0 O 1 N l Y 3 R p b 2 4 x L 1 N V T S A y M D E 1 L 0 N o Y W 5 n Z W Q g V H l w Z S 5 7 Q 2 9 s d W 1 u M j A s M T l 9 J n F 1 b 3 Q 7 L C Z x d W 9 0 O 1 N l Y 3 R p b 2 4 x L 1 N V T S A y M D E 1 L 0 N o Y W 5 n Z W Q g V H l w Z S 5 7 Q 2 9 s d W 1 u M j E s M j B 9 J n F 1 b 3 Q 7 L C Z x d W 9 0 O 1 N l Y 3 R p b 2 4 x L 1 N V T S A y M D E 1 L 0 N o Y W 5 n Z W Q g V H l w Z S 5 7 Q 2 9 s d W 1 u M j I s M j F 9 J n F 1 b 3 Q 7 L C Z x d W 9 0 O 1 N l Y 3 R p b 2 4 x L 1 N V T S A y M D E 1 L 0 N o Y W 5 n Z W Q g V H l w Z S 5 7 Q 2 9 s d W 1 u M j M s M j J 9 J n F 1 b 3 Q 7 L C Z x d W 9 0 O 1 N l Y 3 R p b 2 4 x L 1 N V T S A y M D E 1 L 0 N o Y W 5 n Z W Q g V H l w Z S 5 7 Q 2 9 s d W 1 u M j Q s M j N 9 J n F 1 b 3 Q 7 L C Z x d W 9 0 O 1 N l Y 3 R p b 2 4 x L 1 N V T S A y M D E 1 L 0 N o Y W 5 n Z W Q g V H l w Z S 5 7 Q 2 9 s d W 1 u M j U s M j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V U 0 l M j A y M D E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S U y M D I w M T U v U 1 V N J T I w M j A x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S U y M D I w M T U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x N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S U y M D I w M T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y M F Q x N j o 1 M z o 0 M S 4 w M z k w O T U w W i I g L z 4 8 R W 5 0 c n k g V H l w Z T 0 i R m l s b E N v b H V t b l R 5 c G V z I i B W Y W x 1 Z T 0 i c 0 F B Q U d B d 1 V B Q l F B R 0 J R W U F B d 0 1 G Q l F V R E F B W U d B d 1 l B Q X c 9 P S I g L z 4 8 R W 5 0 c n k g V H l w Z T 0 i R m l s b E N v b H V t b k 5 h b W V z I i B W Y W x 1 Z T 0 i c 1 s m c X V v d D t D b 2 1 w Y W 5 5 J n F 1 b 3 Q 7 L C Z x d W 9 0 O 0 N v b H V t b j I m c X V v d D s s J n F 1 b 3 Q 7 I C B N a W 5 l I C Z x d W 9 0 O y w m c X V v d D s y M D E 2 I F B y b 2 R 1 Y 3 R p b 2 4 g K F N o b 3 J 0 I F R v b n M p J n F 1 b 3 Q 7 L C Z x d W 9 0 O 0 F j c m V z I C A g Q m 9 u Z G V k J n F 1 b 3 Q 7 L C Z x d W 9 0 O 0 F j c m V z I E R p c 3 R 1 c m J l Z C Z x d W 9 0 O y w m c X V v d D t B Y 3 J l c y A g I C B N a W 5 l Z C Z x d W 9 0 O y w m c X V v d D t T a G 9 y d C B U b 2 5 z L y A g I C A g I C A g I C A g I C B B Y 3 J l I E 1 p b m V k J n F 1 b 3 Q 7 L C Z x d W 9 0 O y A m c X V v d D s s J n F 1 b 3 Q 7 V G 9 0 Y W w g R m V l c y B D b 2 x s Z W N 0 Z W Q g J n F 1 b 3 Q 7 L C Z x d W 9 0 O y B f M S Z x d W 9 0 O y w m c X V v d D t D b 2 x 1 b W 4 x M i Z x d W 9 0 O y w m c X V v d D s y M D E 1 I F B y b 2 R 1 Y 3 R p b 2 4 g K F N o b 3 J 0 I F R v b n M p J n F 1 b 3 Q 7 L C Z x d W 9 0 O 0 R p Z m Z l c m V u Y 2 U m c X V v d D s s J n F 1 b 3 Q 7 J S B p b m N y Z W F z Z S Z x d W 9 0 O y w m c X V v d D s y M D E 2 I E J v b m R l Z C B B Y 3 J l c y A o Q V x 1 M D A y N l A p J n F 1 b 3 Q 7 L C Z x d W 9 0 O 0 N v b H V t b j E 3 J n F 1 b 3 Q 7 L C Z x d W 9 0 O 0 N v b H V t b j E 4 J n F 1 b 3 Q 7 L C Z x d W 9 0 O 1 J l c G 9 y d G V k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T S A y M D E 2 L 0 N o Y W 5 n Z W Q g V H l w Z S 5 7 Q 2 9 t c G F u e S w w f S Z x d W 9 0 O y w m c X V v d D t T Z W N 0 a W 9 u M S 9 T V U 0 g M j A x N i 9 D a G F u Z 2 V k I F R 5 c G U u e 0 N v b H V t b j I s M X 0 m c X V v d D s s J n F 1 b 3 Q 7 U 2 V j d G l v b j E v U 1 V N I D I w M T Y v Q 2 h h b m d l Z C B U e X B l L n s g I E 1 p b m U g L D J 9 J n F 1 b 3 Q 7 L C Z x d W 9 0 O 1 N l Y 3 R p b 2 4 x L 1 N V T S A y M D E 2 L 0 N o Y W 5 n Z W Q g V H l w Z S 5 7 M j A x N i B Q c m 9 k d W N 0 a W 9 u I C h T a G 9 y d C B U b 2 5 z K S w z f S Z x d W 9 0 O y w m c X V v d D t T Z W N 0 a W 9 u M S 9 T V U 0 g M j A x N i 9 D a G F u Z 2 V k I F R 5 c G U u e 0 F j c m V z I C A g Q m 9 u Z G V k L D R 9 J n F 1 b 3 Q 7 L C Z x d W 9 0 O 1 N l Y 3 R p b 2 4 x L 1 N V T S A y M D E 2 L 0 N o Y W 5 n Z W Q g V H l w Z S 5 7 Q W N y Z X M g R G l z d H V y Y m V k L D V 9 J n F 1 b 3 Q 7 L C Z x d W 9 0 O 1 N l Y 3 R p b 2 4 x L 1 N V T S A y M D E 2 L 0 N o Y W 5 n Z W Q g V H l w Z S 5 7 Q W N y Z X M g I C A g T W l u Z W Q s N n 0 m c X V v d D s s J n F 1 b 3 Q 7 U 2 V j d G l v b j E v U 1 V N I D I w M T Y v Q 2 h h b m d l Z C B U e X B l L n t T a G 9 y d C B U b 2 5 z L y A g I C A g I C A g I C A g I C B B Y 3 J l I E 1 p b m V k L D d 9 J n F 1 b 3 Q 7 L C Z x d W 9 0 O 1 N l Y 3 R p b 2 4 x L 1 N V T S A y M D E 2 L 0 N o Y W 5 n Z W Q g V H l w Z S 5 7 I C w 4 f S Z x d W 9 0 O y w m c X V v d D t T Z W N 0 a W 9 u M S 9 T V U 0 g M j A x N i 9 D a G F u Z 2 V k I F R 5 c G U u e 1 R v d G F s I E Z l Z X M g Q 2 9 s b G V j d G V k I C w 5 f S Z x d W 9 0 O y w m c X V v d D t T Z W N 0 a W 9 u M S 9 T V U 0 g M j A x N i 9 D a G F u Z 2 V k I F R 5 c G U u e y B f M S w x M H 0 m c X V v d D s s J n F 1 b 3 Q 7 U 2 V j d G l v b j E v U 1 V N I D I w M T Y v Q 2 h h b m d l Z C B U e X B l L n t D b 2 x 1 b W 4 x M i w x M X 0 m c X V v d D s s J n F 1 b 3 Q 7 U 2 V j d G l v b j E v U 1 V N I D I w M T Y v Q 2 h h b m d l Z C B U e X B l L n s y M D E 1 I F B y b 2 R 1 Y 3 R p b 2 4 g K F N o b 3 J 0 I F R v b n M p L D E y f S Z x d W 9 0 O y w m c X V v d D t T Z W N 0 a W 9 u M S 9 T V U 0 g M j A x N i 9 D a G F u Z 2 V k I F R 5 c G U u e 0 R p Z m Z l c m V u Y 2 U s M T N 9 J n F 1 b 3 Q 7 L C Z x d W 9 0 O 1 N l Y 3 R p b 2 4 x L 1 N V T S A y M D E 2 L 0 N o Y W 5 n Z W Q g V H l w Z S 5 7 J S B p b m N y Z W F z Z S w x N H 0 m c X V v d D s s J n F 1 b 3 Q 7 U 2 V j d G l v b j E v U 1 V N I D I w M T Y v Q 2 h h b m d l Z C B U e X B l L n s y M D E 2 I E J v b m R l Z C B B Y 3 J l c y A o Q V x 1 M D A y N l A p L D E 1 f S Z x d W 9 0 O y w m c X V v d D t T Z W N 0 a W 9 u M S 9 T V U 0 g M j A x N i 9 D a G F u Z 2 V k I F R 5 c G U u e 0 N v b H V t b j E 3 L D E 2 f S Z x d W 9 0 O y w m c X V v d D t T Z W N 0 a W 9 u M S 9 T V U 0 g M j A x N i 9 D a G F u Z 2 V k I F R 5 c G U u e 0 N v b H V t b j E 4 L D E 3 f S Z x d W 9 0 O y w m c X V v d D t T Z W N 0 a W 9 u M S 9 T V U 0 g M j A x N i 9 D a G F u Z 2 V k I F R 5 c G U u e 1 J l c G 9 y d G V k L D E 4 f S Z x d W 9 0 O y w m c X V v d D t T Z W N 0 a W 9 u M S 9 T V U 0 g M j A x N i 9 D a G F u Z 2 V k I F R 5 c G U u e 0 N v b H V t b j I w L D E 5 f S Z x d W 9 0 O y w m c X V v d D t T Z W N 0 a W 9 u M S 9 T V U 0 g M j A x N i 9 D a G F u Z 2 V k I F R 5 c G U u e 0 N v b H V t b j I x L D I w f S Z x d W 9 0 O y w m c X V v d D t T Z W N 0 a W 9 u M S 9 T V U 0 g M j A x N i 9 D a G F u Z 2 V k I F R 5 c G U u e 0 N v b H V t b j I y L D I x f S Z x d W 9 0 O y w m c X V v d D t T Z W N 0 a W 9 u M S 9 T V U 0 g M j A x N i 9 D a G F u Z 2 V k I F R 5 c G U u e 0 N v b H V t b j I z L D I y f S Z x d W 9 0 O y w m c X V v d D t T Z W N 0 a W 9 u M S 9 T V U 0 g M j A x N i 9 D a G F u Z 2 V k I F R 5 c G U u e 0 N v b H V t b j I 0 L D I z f S Z x d W 9 0 O y w m c X V v d D t T Z W N 0 a W 9 u M S 9 T V U 0 g M j A x N i 9 D a G F u Z 2 V k I F R 5 c G U u e 0 N v b H V t b j I 1 L D I 0 f S Z x d W 9 0 O 1 0 s J n F 1 b 3 Q 7 Q 2 9 s d W 1 u Q 2 9 1 b n Q m c X V v d D s 6 M j U s J n F 1 b 3 Q 7 S 2 V 5 Q 2 9 s d W 1 u T m F t Z X M m c X V v d D s 6 W 1 0 s J n F 1 b 3 Q 7 Q 2 9 s d W 1 u S W R l b n R p d G l l c y Z x d W 9 0 O z p b J n F 1 b 3 Q 7 U 2 V j d G l v b j E v U 1 V N I D I w M T Y v Q 2 h h b m d l Z C B U e X B l L n t D b 2 1 w Y W 5 5 L D B 9 J n F 1 b 3 Q 7 L C Z x d W 9 0 O 1 N l Y 3 R p b 2 4 x L 1 N V T S A y M D E 2 L 0 N o Y W 5 n Z W Q g V H l w Z S 5 7 Q 2 9 s d W 1 u M i w x f S Z x d W 9 0 O y w m c X V v d D t T Z W N 0 a W 9 u M S 9 T V U 0 g M j A x N i 9 D a G F u Z 2 V k I F R 5 c G U u e y A g T W l u Z S A s M n 0 m c X V v d D s s J n F 1 b 3 Q 7 U 2 V j d G l v b j E v U 1 V N I D I w M T Y v Q 2 h h b m d l Z C B U e X B l L n s y M D E 2 I F B y b 2 R 1 Y 3 R p b 2 4 g K F N o b 3 J 0 I F R v b n M p L D N 9 J n F 1 b 3 Q 7 L C Z x d W 9 0 O 1 N l Y 3 R p b 2 4 x L 1 N V T S A y M D E 2 L 0 N o Y W 5 n Z W Q g V H l w Z S 5 7 Q W N y Z X M g I C B C b 2 5 k Z W Q s N H 0 m c X V v d D s s J n F 1 b 3 Q 7 U 2 V j d G l v b j E v U 1 V N I D I w M T Y v Q 2 h h b m d l Z C B U e X B l L n t B Y 3 J l c y B E a X N 0 d X J i Z W Q s N X 0 m c X V v d D s s J n F 1 b 3 Q 7 U 2 V j d G l v b j E v U 1 V N I D I w M T Y v Q 2 h h b m d l Z C B U e X B l L n t B Y 3 J l c y A g I C B N a W 5 l Z C w 2 f S Z x d W 9 0 O y w m c X V v d D t T Z W N 0 a W 9 u M S 9 T V U 0 g M j A x N i 9 D a G F u Z 2 V k I F R 5 c G U u e 1 N o b 3 J 0 I F R v b n M v I C A g I C A g I C A g I C A g I E F j c m U g T W l u Z W Q s N 3 0 m c X V v d D s s J n F 1 b 3 Q 7 U 2 V j d G l v b j E v U 1 V N I D I w M T Y v Q 2 h h b m d l Z C B U e X B l L n s g L D h 9 J n F 1 b 3 Q 7 L C Z x d W 9 0 O 1 N l Y 3 R p b 2 4 x L 1 N V T S A y M D E 2 L 0 N o Y W 5 n Z W Q g V H l w Z S 5 7 V G 9 0 Y W w g R m V l c y B D b 2 x s Z W N 0 Z W Q g L D l 9 J n F 1 b 3 Q 7 L C Z x d W 9 0 O 1 N l Y 3 R p b 2 4 x L 1 N V T S A y M D E 2 L 0 N o Y W 5 n Z W Q g V H l w Z S 5 7 I F 8 x L D E w f S Z x d W 9 0 O y w m c X V v d D t T Z W N 0 a W 9 u M S 9 T V U 0 g M j A x N i 9 D a G F u Z 2 V k I F R 5 c G U u e 0 N v b H V t b j E y L D E x f S Z x d W 9 0 O y w m c X V v d D t T Z W N 0 a W 9 u M S 9 T V U 0 g M j A x N i 9 D a G F u Z 2 V k I F R 5 c G U u e z I w M T U g U H J v Z H V j d G l v b i A o U 2 h v c n Q g V G 9 u c y k s M T J 9 J n F 1 b 3 Q 7 L C Z x d W 9 0 O 1 N l Y 3 R p b 2 4 x L 1 N V T S A y M D E 2 L 0 N o Y W 5 n Z W Q g V H l w Z S 5 7 R G l m Z m V y Z W 5 j Z S w x M 3 0 m c X V v d D s s J n F 1 b 3 Q 7 U 2 V j d G l v b j E v U 1 V N I D I w M T Y v Q 2 h h b m d l Z C B U e X B l L n s l I G l u Y 3 J l Y X N l L D E 0 f S Z x d W 9 0 O y w m c X V v d D t T Z W N 0 a W 9 u M S 9 T V U 0 g M j A x N i 9 D a G F u Z 2 V k I F R 5 c G U u e z I w M T Y g Q m 9 u Z G V k I E F j c m V z I C h B X H U w M D I 2 U C k s M T V 9 J n F 1 b 3 Q 7 L C Z x d W 9 0 O 1 N l Y 3 R p b 2 4 x L 1 N V T S A y M D E 2 L 0 N o Y W 5 n Z W Q g V H l w Z S 5 7 Q 2 9 s d W 1 u M T c s M T Z 9 J n F 1 b 3 Q 7 L C Z x d W 9 0 O 1 N l Y 3 R p b 2 4 x L 1 N V T S A y M D E 2 L 0 N o Y W 5 n Z W Q g V H l w Z S 5 7 Q 2 9 s d W 1 u M T g s M T d 9 J n F 1 b 3 Q 7 L C Z x d W 9 0 O 1 N l Y 3 R p b 2 4 x L 1 N V T S A y M D E 2 L 0 N o Y W 5 n Z W Q g V H l w Z S 5 7 U m V w b 3 J 0 Z W Q s M T h 9 J n F 1 b 3 Q 7 L C Z x d W 9 0 O 1 N l Y 3 R p b 2 4 x L 1 N V T S A y M D E 2 L 0 N o Y W 5 n Z W Q g V H l w Z S 5 7 Q 2 9 s d W 1 u M j A s M T l 9 J n F 1 b 3 Q 7 L C Z x d W 9 0 O 1 N l Y 3 R p b 2 4 x L 1 N V T S A y M D E 2 L 0 N o Y W 5 n Z W Q g V H l w Z S 5 7 Q 2 9 s d W 1 u M j E s M j B 9 J n F 1 b 3 Q 7 L C Z x d W 9 0 O 1 N l Y 3 R p b 2 4 x L 1 N V T S A y M D E 2 L 0 N o Y W 5 n Z W Q g V H l w Z S 5 7 Q 2 9 s d W 1 u M j I s M j F 9 J n F 1 b 3 Q 7 L C Z x d W 9 0 O 1 N l Y 3 R p b 2 4 x L 1 N V T S A y M D E 2 L 0 N o Y W 5 n Z W Q g V H l w Z S 5 7 Q 2 9 s d W 1 u M j M s M j J 9 J n F 1 b 3 Q 7 L C Z x d W 9 0 O 1 N l Y 3 R p b 2 4 x L 1 N V T S A y M D E 2 L 0 N o Y W 5 n Z W Q g V H l w Z S 5 7 Q 2 9 s d W 1 u M j Q s M j N 9 J n F 1 b 3 Q 7 L C Z x d W 9 0 O 1 N l Y 3 R p b 2 4 x L 1 N V T S A y M D E 2 L 0 N o Y W 5 n Z W Q g V H l w Z S 5 7 Q 2 9 s d W 1 u M j U s M j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V U 0 l M j A y M D E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S U y M D I w M T Y v U 1 V N J T I w M j A x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S U y M D I w M T Y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x N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S U y M D I w M T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y M F Q x N j o 1 M z o 0 M S 4 w M z k w O T U w W i I g L z 4 8 R W 5 0 c n k g V H l w Z T 0 i R m l s b E N v b H V t b l R 5 c G V z I i B W Y W x 1 Z T 0 i c 0 F B Q U d B d 1 V B Q l F B R 0 J R W U F B d 0 1 G Q U F B Q U F B Q U d B Q U 1 B I i A v P j x F b n R y e S B U e X B l P S J G a W x s Q 2 9 s d W 1 u T m F t Z X M i I F Z h b H V l P S J z W y Z x d W 9 0 O 0 N v b X B h b n k m c X V v d D s s J n F 1 b 3 Q 7 Q 2 9 s d W 1 u M i Z x d W 9 0 O y w m c X V v d D s g I E 1 p b m U g J n F 1 b 3 Q 7 L C Z x d W 9 0 O z I w M T c g U H J v Z H V j d G l v b i A o U 2 h v c n Q g V G 9 u c y k m c X V v d D s s J n F 1 b 3 Q 7 Q W N y Z X M g I C B C b 2 5 k Z W Q m c X V v d D s s J n F 1 b 3 Q 7 Q W N y Z X M g R G l z d H V y Y m V k J n F 1 b 3 Q 7 L C Z x d W 9 0 O 0 F j c m V z I C A g I E 1 p b m V k J n F 1 b 3 Q 7 L C Z x d W 9 0 O 1 N o b 3 J 0 I F R v b n M v I C A g I C A g I C A g I C A g I E F j c m U g T W l u Z W Q m c X V v d D s s J n F 1 b 3 Q 7 I C Z x d W 9 0 O y w m c X V v d D t U b 3 R h b C B G Z W V z I E N v b G x l Y 3 R l Z C A m c X V v d D s s J n F 1 b 3 Q 7 I F 8 x J n F 1 b 3 Q 7 L C Z x d W 9 0 O 0 N v b H V t b j E y J n F 1 b 3 Q 7 L C Z x d W 9 0 O z I w M T Y g U H J v Z H V j d G l v b i A o U 2 h v c n Q g V G 9 u c y k m c X V v d D s s J n F 1 b 3 Q 7 R G l m Z m V y Z W 5 j Z S Z x d W 9 0 O y w m c X V v d D s l I G l u Y 3 J l Y X N l J n F 1 b 3 Q 7 L C Z x d W 9 0 O z I w M T c g Q m 9 u Z G V k I E F j c m V z I C h B X H U w M D I 2 U C k m c X V v d D s s J n F 1 b 3 Q 7 Q 2 9 s d W 1 u M T c m c X V v d D s s J n F 1 b 3 Q 7 Q 2 9 s d W 1 u M T g m c X V v d D s s J n F 1 b 3 Q 7 U m V w b 3 J 0 Z W Q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1 V N I D I w M T c v Q 2 h h b m d l Z C B U e X B l L n t D b 2 1 w Y W 5 5 L D B 9 J n F 1 b 3 Q 7 L C Z x d W 9 0 O 1 N l Y 3 R p b 2 4 x L 1 N V T S A y M D E 3 L 0 N o Y W 5 n Z W Q g V H l w Z S 5 7 Q 2 9 s d W 1 u M i w x f S Z x d W 9 0 O y w m c X V v d D t T Z W N 0 a W 9 u M S 9 T V U 0 g M j A x N y 9 D a G F u Z 2 V k I F R 5 c G U u e y A g T W l u Z S A s M n 0 m c X V v d D s s J n F 1 b 3 Q 7 U 2 V j d G l v b j E v U 1 V N I D I w M T c v Q 2 h h b m d l Z C B U e X B l L n s y M D E 3 I F B y b 2 R 1 Y 3 R p b 2 4 g K F N o b 3 J 0 I F R v b n M p L D N 9 J n F 1 b 3 Q 7 L C Z x d W 9 0 O 1 N l Y 3 R p b 2 4 x L 1 N V T S A y M D E 3 L 0 N o Y W 5 n Z W Q g V H l w Z S 5 7 Q W N y Z X M g I C B C b 2 5 k Z W Q s N H 0 m c X V v d D s s J n F 1 b 3 Q 7 U 2 V j d G l v b j E v U 1 V N I D I w M T c v Q 2 h h b m d l Z C B U e X B l L n t B Y 3 J l c y B E a X N 0 d X J i Z W Q s N X 0 m c X V v d D s s J n F 1 b 3 Q 7 U 2 V j d G l v b j E v U 1 V N I D I w M T c v Q 2 h h b m d l Z C B U e X B l L n t B Y 3 J l c y A g I C B N a W 5 l Z C w 2 f S Z x d W 9 0 O y w m c X V v d D t T Z W N 0 a W 9 u M S 9 T V U 0 g M j A x N y 9 D a G F u Z 2 V k I F R 5 c G U u e 1 N o b 3 J 0 I F R v b n M v I C A g I C A g I C A g I C A g I E F j c m U g T W l u Z W Q s N 3 0 m c X V v d D s s J n F 1 b 3 Q 7 U 2 V j d G l v b j E v U 1 V N I D I w M T c v Q 2 h h b m d l Z C B U e X B l L n s g L D h 9 J n F 1 b 3 Q 7 L C Z x d W 9 0 O 1 N l Y 3 R p b 2 4 x L 1 N V T S A y M D E 3 L 0 N o Y W 5 n Z W Q g V H l w Z S 5 7 V G 9 0 Y W w g R m V l c y B D b 2 x s Z W N 0 Z W Q g L D l 9 J n F 1 b 3 Q 7 L C Z x d W 9 0 O 1 N l Y 3 R p b 2 4 x L 1 N V T S A y M D E 3 L 0 N o Y W 5 n Z W Q g V H l w Z S 5 7 I F 8 x L D E w f S Z x d W 9 0 O y w m c X V v d D t T Z W N 0 a W 9 u M S 9 T V U 0 g M j A x N y 9 D a G F u Z 2 V k I F R 5 c G U u e 0 N v b H V t b j E y L D E x f S Z x d W 9 0 O y w m c X V v d D t T Z W N 0 a W 9 u M S 9 T V U 0 g M j A x N y 9 D a G F u Z 2 V k I F R 5 c G U u e z I w M T Y g U H J v Z H V j d G l v b i A o U 2 h v c n Q g V G 9 u c y k s M T J 9 J n F 1 b 3 Q 7 L C Z x d W 9 0 O 1 N l Y 3 R p b 2 4 x L 1 N V T S A y M D E 3 L 0 N o Y W 5 n Z W Q g V H l w Z S 5 7 R G l m Z m V y Z W 5 j Z S w x M 3 0 m c X V v d D s s J n F 1 b 3 Q 7 U 2 V j d G l v b j E v U 1 V N I D I w M T c v Q 2 h h b m d l Z C B U e X B l L n s l I G l u Y 3 J l Y X N l L D E 0 f S Z x d W 9 0 O y w m c X V v d D t T Z W N 0 a W 9 u M S 9 T V U 0 g M j A x N y 9 D a G F u Z 2 V k I F R 5 c G U u e z I w M T c g Q m 9 u Z G V k I E F j c m V z I C h B X H U w M D I 2 U C k s M T V 9 J n F 1 b 3 Q 7 L C Z x d W 9 0 O 1 N l Y 3 R p b 2 4 x L 1 N V T S A y M D E 3 L 0 N o Y W 5 n Z W Q g V H l w Z S 5 7 Q 2 9 s d W 1 u M T c s M T Z 9 J n F 1 b 3 Q 7 L C Z x d W 9 0 O 1 N l Y 3 R p b 2 4 x L 1 N V T S A y M D E 3 L 0 N o Y W 5 n Z W Q g V H l w Z S 5 7 Q 2 9 s d W 1 u M T g s M T d 9 J n F 1 b 3 Q 7 L C Z x d W 9 0 O 1 N l Y 3 R p b 2 4 x L 1 N V T S A y M D E 3 L 0 N o Y W 5 n Z W Q g V H l w Z S 5 7 U m V w b 3 J 0 Z W Q s M T h 9 J n F 1 b 3 Q 7 L C Z x d W 9 0 O 1 N l Y 3 R p b 2 4 x L 1 N V T S A y M D E 3 L 0 N o Y W 5 n Z W Q g V H l w Z S 5 7 Q 2 9 s d W 1 u M j A s M T l 9 J n F 1 b 3 Q 7 L C Z x d W 9 0 O 1 N l Y 3 R p b 2 4 x L 1 N V T S A y M D E 3 L 0 N o Y W 5 n Z W Q g V H l w Z S 5 7 Q 2 9 s d W 1 u M j E s M j B 9 J n F 1 b 3 Q 7 L C Z x d W 9 0 O 1 N l Y 3 R p b 2 4 x L 1 N V T S A y M D E 3 L 0 N o Y W 5 n Z W Q g V H l w Z S 5 7 Q 2 9 s d W 1 u M j I s M j F 9 J n F 1 b 3 Q 7 L C Z x d W 9 0 O 1 N l Y 3 R p b 2 4 x L 1 N V T S A y M D E 3 L 0 N o Y W 5 n Z W Q g V H l w Z S 5 7 Q 2 9 s d W 1 u M j M s M j J 9 J n F 1 b 3 Q 7 L C Z x d W 9 0 O 1 N l Y 3 R p b 2 4 x L 1 N V T S A y M D E 3 L 0 N o Y W 5 n Z W Q g V H l w Z S 5 7 Q 2 9 s d W 1 u M j Q s M j N 9 J n F 1 b 3 Q 7 X S w m c X V v d D t D b 2 x 1 b W 5 D b 3 V u d C Z x d W 9 0 O z o y N C w m c X V v d D t L Z X l D b 2 x 1 b W 5 O Y W 1 l c y Z x d W 9 0 O z p b X S w m c X V v d D t D b 2 x 1 b W 5 J Z G V u d G l 0 a W V z J n F 1 b 3 Q 7 O l s m c X V v d D t T Z W N 0 a W 9 u M S 9 T V U 0 g M j A x N y 9 D a G F u Z 2 V k I F R 5 c G U u e 0 N v b X B h b n k s M H 0 m c X V v d D s s J n F 1 b 3 Q 7 U 2 V j d G l v b j E v U 1 V N I D I w M T c v Q 2 h h b m d l Z C B U e X B l L n t D b 2 x 1 b W 4 y L D F 9 J n F 1 b 3 Q 7 L C Z x d W 9 0 O 1 N l Y 3 R p b 2 4 x L 1 N V T S A y M D E 3 L 0 N o Y W 5 n Z W Q g V H l w Z S 5 7 I C B N a W 5 l I C w y f S Z x d W 9 0 O y w m c X V v d D t T Z W N 0 a W 9 u M S 9 T V U 0 g M j A x N y 9 D a G F u Z 2 V k I F R 5 c G U u e z I w M T c g U H J v Z H V j d G l v b i A o U 2 h v c n Q g V G 9 u c y k s M 3 0 m c X V v d D s s J n F 1 b 3 Q 7 U 2 V j d G l v b j E v U 1 V N I D I w M T c v Q 2 h h b m d l Z C B U e X B l L n t B Y 3 J l c y A g I E J v b m R l Z C w 0 f S Z x d W 9 0 O y w m c X V v d D t T Z W N 0 a W 9 u M S 9 T V U 0 g M j A x N y 9 D a G F u Z 2 V k I F R 5 c G U u e 0 F j c m V z I E R p c 3 R 1 c m J l Z C w 1 f S Z x d W 9 0 O y w m c X V v d D t T Z W N 0 a W 9 u M S 9 T V U 0 g M j A x N y 9 D a G F u Z 2 V k I F R 5 c G U u e 0 F j c m V z I C A g I E 1 p b m V k L D Z 9 J n F 1 b 3 Q 7 L C Z x d W 9 0 O 1 N l Y 3 R p b 2 4 x L 1 N V T S A y M D E 3 L 0 N o Y W 5 n Z W Q g V H l w Z S 5 7 U 2 h v c n Q g V G 9 u c y 8 g I C A g I C A g I C A g I C A g Q W N y Z S B N a W 5 l Z C w 3 f S Z x d W 9 0 O y w m c X V v d D t T Z W N 0 a W 9 u M S 9 T V U 0 g M j A x N y 9 D a G F u Z 2 V k I F R 5 c G U u e y A s O H 0 m c X V v d D s s J n F 1 b 3 Q 7 U 2 V j d G l v b j E v U 1 V N I D I w M T c v Q 2 h h b m d l Z C B U e X B l L n t U b 3 R h b C B G Z W V z I E N v b G x l Y 3 R l Z C A s O X 0 m c X V v d D s s J n F 1 b 3 Q 7 U 2 V j d G l v b j E v U 1 V N I D I w M T c v Q 2 h h b m d l Z C B U e X B l L n s g X z E s M T B 9 J n F 1 b 3 Q 7 L C Z x d W 9 0 O 1 N l Y 3 R p b 2 4 x L 1 N V T S A y M D E 3 L 0 N o Y W 5 n Z W Q g V H l w Z S 5 7 Q 2 9 s d W 1 u M T I s M T F 9 J n F 1 b 3 Q 7 L C Z x d W 9 0 O 1 N l Y 3 R p b 2 4 x L 1 N V T S A y M D E 3 L 0 N o Y W 5 n Z W Q g V H l w Z S 5 7 M j A x N i B Q c m 9 k d W N 0 a W 9 u I C h T a G 9 y d C B U b 2 5 z K S w x M n 0 m c X V v d D s s J n F 1 b 3 Q 7 U 2 V j d G l v b j E v U 1 V N I D I w M T c v Q 2 h h b m d l Z C B U e X B l L n t E a W Z m Z X J l b m N l L D E z f S Z x d W 9 0 O y w m c X V v d D t T Z W N 0 a W 9 u M S 9 T V U 0 g M j A x N y 9 D a G F u Z 2 V k I F R 5 c G U u e y U g a W 5 j c m V h c 2 U s M T R 9 J n F 1 b 3 Q 7 L C Z x d W 9 0 O 1 N l Y 3 R p b 2 4 x L 1 N V T S A y M D E 3 L 0 N o Y W 5 n Z W Q g V H l w Z S 5 7 M j A x N y B C b 2 5 k Z W Q g Q W N y Z X M g K E F c d T A w M j Z Q K S w x N X 0 m c X V v d D s s J n F 1 b 3 Q 7 U 2 V j d G l v b j E v U 1 V N I D I w M T c v Q 2 h h b m d l Z C B U e X B l L n t D b 2 x 1 b W 4 x N y w x N n 0 m c X V v d D s s J n F 1 b 3 Q 7 U 2 V j d G l v b j E v U 1 V N I D I w M T c v Q 2 h h b m d l Z C B U e X B l L n t D b 2 x 1 b W 4 x O C w x N 3 0 m c X V v d D s s J n F 1 b 3 Q 7 U 2 V j d G l v b j E v U 1 V N I D I w M T c v Q 2 h h b m d l Z C B U e X B l L n t S Z X B v c n R l Z C w x O H 0 m c X V v d D s s J n F 1 b 3 Q 7 U 2 V j d G l v b j E v U 1 V N I D I w M T c v Q 2 h h b m d l Z C B U e X B l L n t D b 2 x 1 b W 4 y M C w x O X 0 m c X V v d D s s J n F 1 b 3 Q 7 U 2 V j d G l v b j E v U 1 V N I D I w M T c v Q 2 h h b m d l Z C B U e X B l L n t D b 2 x 1 b W 4 y M S w y M H 0 m c X V v d D s s J n F 1 b 3 Q 7 U 2 V j d G l v b j E v U 1 V N I D I w M T c v Q 2 h h b m d l Z C B U e X B l L n t D b 2 x 1 b W 4 y M i w y M X 0 m c X V v d D s s J n F 1 b 3 Q 7 U 2 V j d G l v b j E v U 1 V N I D I w M T c v Q 2 h h b m d l Z C B U e X B l L n t D b 2 x 1 b W 4 y M y w y M n 0 m c X V v d D s s J n F 1 b 3 Q 7 U 2 V j d G l v b j E v U 1 V N I D I w M T c v Q 2 h h b m d l Z C B U e X B l L n t D b 2 x 1 b W 4 y N C w y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V T S U y M D I w M T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x N y 9 T V U 0 l M j A y M D E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x N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l M j A y M D E 3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x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I w V D E 2 O j U z O j Q x L j A 1 N D c y M j N a I i A v P j x F b n R y e S B U e X B l P S J G a W x s Q 2 9 s d W 1 u V H l w Z X M i I F Z h b H V l P S J z Q U F B R 0 F 3 V U F C U U F H Q l F Z R k F 3 T U F C U V V G Q U F Z R 0 F 3 W U F B Q T 0 9 I i A v P j x F b n R y e S B U e X B l P S J G a W x s Q 2 9 s d W 1 u T m F t Z X M i I F Z h b H V l P S J z W y Z x d W 9 0 O 0 N v b X B h b n k m c X V v d D s s J n F 1 b 3 Q 7 Q 2 9 s d W 1 u M i Z x d W 9 0 O y w m c X V v d D s g I E 1 p b m U g J n F 1 b 3 Q 7 L C Z x d W 9 0 O z I w M T g g U H J v Z H V j d G l v b i A o U 2 h v c n Q g V G 9 u c y k m c X V v d D s s J n F 1 b 3 Q 7 Q W N y Z X M g I C B C b 2 5 k Z W Q m c X V v d D s s J n F 1 b 3 Q 7 Q W N y Z X M g R G l z d H V y Y m V k J n F 1 b 3 Q 7 L C Z x d W 9 0 O 0 F j c m V z I C A g I E 1 p b m V k J n F 1 b 3 Q 7 L C Z x d W 9 0 O 1 N o b 3 J 0 I F R v b n M v I C A g I C A g I C A g I C A g I E F j c m U g T W l u Z W Q m c X V v d D s s J n F 1 b 3 Q 7 I C Z x d W 9 0 O y w m c X V v d D t U b 3 R h b C B G Z W V z I E N v b G x l Y 3 R l Z C A m c X V v d D s s J n F 1 b 3 Q 7 I F 8 x J n F 1 b 3 Q 7 L C Z x d W 9 0 O 2 R p Z i A k c y Z x d W 9 0 O y w m c X V v d D s y M D E 3 I F B y b 2 R 1 Y 3 R p b 2 4 g K F N o b 3 J 0 I F R v b n M p J n F 1 b 3 Q 7 L C Z x d W 9 0 O 0 R p Z m Z l c m V u Y 2 U m c X V v d D s s J n F 1 b 3 Q 7 J S B p b m N y Z W F z Z S Z x d W 9 0 O y w m c X V v d D s y M D E 4 I E J v b m R l Z C B B Y 3 J l c y A o Q V x 1 M D A y N l A p J n F 1 b 3 Q 7 L C Z x d W 9 0 O z I w M T g g Q m 9 u Z G V k I E F j c m V z I C h B X H U w M D I 2 U C B 2 c y B D b y 4 p J n F 1 b 3 Q 7 L C Z x d W 9 0 O y R D b 3 N 0 I G 9 y I F l y I H J l b G V h c 2 V k J n F 1 b 3 Q 7 L C Z x d W 9 0 O 1 J l c G 9 y d G V k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T S A y M D E 4 L 0 N o Y W 5 n Z W Q g V H l w Z S 5 7 Q 2 9 t c G F u e S w w f S Z x d W 9 0 O y w m c X V v d D t T Z W N 0 a W 9 u M S 9 T V U 0 g M j A x O C 9 D a G F u Z 2 V k I F R 5 c G U u e 0 N v b H V t b j I s M X 0 m c X V v d D s s J n F 1 b 3 Q 7 U 2 V j d G l v b j E v U 1 V N I D I w M T g v Q 2 h h b m d l Z C B U e X B l L n s g I E 1 p b m U g L D J 9 J n F 1 b 3 Q 7 L C Z x d W 9 0 O 1 N l Y 3 R p b 2 4 x L 1 N V T S A y M D E 4 L 0 N o Y W 5 n Z W Q g V H l w Z S 5 7 M j A x O C B Q c m 9 k d W N 0 a W 9 u I C h T a G 9 y d C B U b 2 5 z K S w z f S Z x d W 9 0 O y w m c X V v d D t T Z W N 0 a W 9 u M S 9 T V U 0 g M j A x O C 9 D a G F u Z 2 V k I F R 5 c G U u e 0 F j c m V z I C A g Q m 9 u Z G V k L D R 9 J n F 1 b 3 Q 7 L C Z x d W 9 0 O 1 N l Y 3 R p b 2 4 x L 1 N V T S A y M D E 4 L 0 N o Y W 5 n Z W Q g V H l w Z S 5 7 Q W N y Z X M g R G l z d H V y Y m V k L D V 9 J n F 1 b 3 Q 7 L C Z x d W 9 0 O 1 N l Y 3 R p b 2 4 x L 1 N V T S A y M D E 4 L 0 N o Y W 5 n Z W Q g V H l w Z S 5 7 Q W N y Z X M g I C A g T W l u Z W Q s N n 0 m c X V v d D s s J n F 1 b 3 Q 7 U 2 V j d G l v b j E v U 1 V N I D I w M T g v Q 2 h h b m d l Z C B U e X B l L n t T a G 9 y d C B U b 2 5 z L y A g I C A g I C A g I C A g I C B B Y 3 J l I E 1 p b m V k L D d 9 J n F 1 b 3 Q 7 L C Z x d W 9 0 O 1 N l Y 3 R p b 2 4 x L 1 N V T S A y M D E 4 L 0 N o Y W 5 n Z W Q g V H l w Z S 5 7 I C w 4 f S Z x d W 9 0 O y w m c X V v d D t T Z W N 0 a W 9 u M S 9 T V U 0 g M j A x O C 9 D a G F u Z 2 V k I F R 5 c G U u e 1 R v d G F s I E Z l Z X M g Q 2 9 s b G V j d G V k I C w 5 f S Z x d W 9 0 O y w m c X V v d D t T Z W N 0 a W 9 u M S 9 T V U 0 g M j A x O C 9 D a G F u Z 2 V k I F R 5 c G U u e y B f M S w x M H 0 m c X V v d D s s J n F 1 b 3 Q 7 U 2 V j d G l v b j E v U 1 V N I D I w M T g v Q 2 h h b m d l Z C B U e X B l L n t k a W Y g J H M s M T F 9 J n F 1 b 3 Q 7 L C Z x d W 9 0 O 1 N l Y 3 R p b 2 4 x L 1 N V T S A y M D E 4 L 0 N o Y W 5 n Z W Q g V H l w Z S 5 7 M j A x N y B Q c m 9 k d W N 0 a W 9 u I C h T a G 9 y d C B U b 2 5 z K S w x M n 0 m c X V v d D s s J n F 1 b 3 Q 7 U 2 V j d G l v b j E v U 1 V N I D I w M T g v Q 2 h h b m d l Z C B U e X B l L n t E a W Z m Z X J l b m N l L D E z f S Z x d W 9 0 O y w m c X V v d D t T Z W N 0 a W 9 u M S 9 T V U 0 g M j A x O C 9 D a G F u Z 2 V k I F R 5 c G U u e y U g a W 5 j c m V h c 2 U s M T R 9 J n F 1 b 3 Q 7 L C Z x d W 9 0 O 1 N l Y 3 R p b 2 4 x L 1 N V T S A y M D E 4 L 0 N o Y W 5 n Z W Q g V H l w Z S 5 7 M j A x O C B C b 2 5 k Z W Q g Q W N y Z X M g K E F c d T A w M j Z Q K S w x N X 0 m c X V v d D s s J n F 1 b 3 Q 7 U 2 V j d G l v b j E v U 1 V N I D I w M T g v Q 2 h h b m d l Z C B U e X B l L n s y M D E 4 I E J v b m R l Z C B B Y 3 J l c y A o Q V x 1 M D A y N l A g d n M g Q 2 8 u K S w x N n 0 m c X V v d D s s J n F 1 b 3 Q 7 U 2 V j d G l v b j E v U 1 V N I D I w M T g v Q 2 h h b m d l Z C B U e X B l L n s k Q 2 9 z d C B v c i B Z c i B y Z W x l Y X N l Z C w x N 3 0 m c X V v d D s s J n F 1 b 3 Q 7 U 2 V j d G l v b j E v U 1 V N I D I w M T g v Q 2 h h b m d l Z C B U e X B l L n t S Z X B v c n R l Z C w x O H 0 m c X V v d D s s J n F 1 b 3 Q 7 U 2 V j d G l v b j E v U 1 V N I D I w M T g v Q 2 h h b m d l Z C B U e X B l L n t D b 2 x 1 b W 4 y M C w x O X 0 m c X V v d D s s J n F 1 b 3 Q 7 U 2 V j d G l v b j E v U 1 V N I D I w M T g v Q 2 h h b m d l Z C B U e X B l L n t D b 2 x 1 b W 4 y M S w y M H 0 m c X V v d D s s J n F 1 b 3 Q 7 U 2 V j d G l v b j E v U 1 V N I D I w M T g v Q 2 h h b m d l Z C B U e X B l L n t D b 2 x 1 b W 4 y M i w y M X 0 m c X V v d D s s J n F 1 b 3 Q 7 U 2 V j d G l v b j E v U 1 V N I D I w M T g v Q 2 h h b m d l Z C B U e X B l L n t D b 2 x 1 b W 4 y M y w y M n 0 m c X V v d D s s J n F 1 b 3 Q 7 U 2 V j d G l v b j E v U 1 V N I D I w M T g v Q 2 h h b m d l Z C B U e X B l L n t D b 2 x 1 b W 4 y N C w y M 3 0 m c X V v d D s s J n F 1 b 3 Q 7 U 2 V j d G l v b j E v U 1 V N I D I w M T g v Q 2 h h b m d l Z C B U e X B l L n t D b 2 x 1 b W 4 y N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1 N V T S A y M D E 4 L 0 N o Y W 5 n Z W Q g V H l w Z S 5 7 Q 2 9 t c G F u e S w w f S Z x d W 9 0 O y w m c X V v d D t T Z W N 0 a W 9 u M S 9 T V U 0 g M j A x O C 9 D a G F u Z 2 V k I F R 5 c G U u e 0 N v b H V t b j I s M X 0 m c X V v d D s s J n F 1 b 3 Q 7 U 2 V j d G l v b j E v U 1 V N I D I w M T g v Q 2 h h b m d l Z C B U e X B l L n s g I E 1 p b m U g L D J 9 J n F 1 b 3 Q 7 L C Z x d W 9 0 O 1 N l Y 3 R p b 2 4 x L 1 N V T S A y M D E 4 L 0 N o Y W 5 n Z W Q g V H l w Z S 5 7 M j A x O C B Q c m 9 k d W N 0 a W 9 u I C h T a G 9 y d C B U b 2 5 z K S w z f S Z x d W 9 0 O y w m c X V v d D t T Z W N 0 a W 9 u M S 9 T V U 0 g M j A x O C 9 D a G F u Z 2 V k I F R 5 c G U u e 0 F j c m V z I C A g Q m 9 u Z G V k L D R 9 J n F 1 b 3 Q 7 L C Z x d W 9 0 O 1 N l Y 3 R p b 2 4 x L 1 N V T S A y M D E 4 L 0 N o Y W 5 n Z W Q g V H l w Z S 5 7 Q W N y Z X M g R G l z d H V y Y m V k L D V 9 J n F 1 b 3 Q 7 L C Z x d W 9 0 O 1 N l Y 3 R p b 2 4 x L 1 N V T S A y M D E 4 L 0 N o Y W 5 n Z W Q g V H l w Z S 5 7 Q W N y Z X M g I C A g T W l u Z W Q s N n 0 m c X V v d D s s J n F 1 b 3 Q 7 U 2 V j d G l v b j E v U 1 V N I D I w M T g v Q 2 h h b m d l Z C B U e X B l L n t T a G 9 y d C B U b 2 5 z L y A g I C A g I C A g I C A g I C B B Y 3 J l I E 1 p b m V k L D d 9 J n F 1 b 3 Q 7 L C Z x d W 9 0 O 1 N l Y 3 R p b 2 4 x L 1 N V T S A y M D E 4 L 0 N o Y W 5 n Z W Q g V H l w Z S 5 7 I C w 4 f S Z x d W 9 0 O y w m c X V v d D t T Z W N 0 a W 9 u M S 9 T V U 0 g M j A x O C 9 D a G F u Z 2 V k I F R 5 c G U u e 1 R v d G F s I E Z l Z X M g Q 2 9 s b G V j d G V k I C w 5 f S Z x d W 9 0 O y w m c X V v d D t T Z W N 0 a W 9 u M S 9 T V U 0 g M j A x O C 9 D a G F u Z 2 V k I F R 5 c G U u e y B f M S w x M H 0 m c X V v d D s s J n F 1 b 3 Q 7 U 2 V j d G l v b j E v U 1 V N I D I w M T g v Q 2 h h b m d l Z C B U e X B l L n t k a W Y g J H M s M T F 9 J n F 1 b 3 Q 7 L C Z x d W 9 0 O 1 N l Y 3 R p b 2 4 x L 1 N V T S A y M D E 4 L 0 N o Y W 5 n Z W Q g V H l w Z S 5 7 M j A x N y B Q c m 9 k d W N 0 a W 9 u I C h T a G 9 y d C B U b 2 5 z K S w x M n 0 m c X V v d D s s J n F 1 b 3 Q 7 U 2 V j d G l v b j E v U 1 V N I D I w M T g v Q 2 h h b m d l Z C B U e X B l L n t E a W Z m Z X J l b m N l L D E z f S Z x d W 9 0 O y w m c X V v d D t T Z W N 0 a W 9 u M S 9 T V U 0 g M j A x O C 9 D a G F u Z 2 V k I F R 5 c G U u e y U g a W 5 j c m V h c 2 U s M T R 9 J n F 1 b 3 Q 7 L C Z x d W 9 0 O 1 N l Y 3 R p b 2 4 x L 1 N V T S A y M D E 4 L 0 N o Y W 5 n Z W Q g V H l w Z S 5 7 M j A x O C B C b 2 5 k Z W Q g Q W N y Z X M g K E F c d T A w M j Z Q K S w x N X 0 m c X V v d D s s J n F 1 b 3 Q 7 U 2 V j d G l v b j E v U 1 V N I D I w M T g v Q 2 h h b m d l Z C B U e X B l L n s y M D E 4 I E J v b m R l Z C B B Y 3 J l c y A o Q V x 1 M D A y N l A g d n M g Q 2 8 u K S w x N n 0 m c X V v d D s s J n F 1 b 3 Q 7 U 2 V j d G l v b j E v U 1 V N I D I w M T g v Q 2 h h b m d l Z C B U e X B l L n s k Q 2 9 z d C B v c i B Z c i B y Z W x l Y X N l Z C w x N 3 0 m c X V v d D s s J n F 1 b 3 Q 7 U 2 V j d G l v b j E v U 1 V N I D I w M T g v Q 2 h h b m d l Z C B U e X B l L n t S Z X B v c n R l Z C w x O H 0 m c X V v d D s s J n F 1 b 3 Q 7 U 2 V j d G l v b j E v U 1 V N I D I w M T g v Q 2 h h b m d l Z C B U e X B l L n t D b 2 x 1 b W 4 y M C w x O X 0 m c X V v d D s s J n F 1 b 3 Q 7 U 2 V j d G l v b j E v U 1 V N I D I w M T g v Q 2 h h b m d l Z C B U e X B l L n t D b 2 x 1 b W 4 y M S w y M H 0 m c X V v d D s s J n F 1 b 3 Q 7 U 2 V j d G l v b j E v U 1 V N I D I w M T g v Q 2 h h b m d l Z C B U e X B l L n t D b 2 x 1 b W 4 y M i w y M X 0 m c X V v d D s s J n F 1 b 3 Q 7 U 2 V j d G l v b j E v U 1 V N I D I w M T g v Q 2 h h b m d l Z C B U e X B l L n t D b 2 x 1 b W 4 y M y w y M n 0 m c X V v d D s s J n F 1 b 3 Q 7 U 2 V j d G l v b j E v U 1 V N I D I w M T g v Q 2 h h b m d l Z C B U e X B l L n t D b 2 x 1 b W 4 y N C w y M 3 0 m c X V v d D s s J n F 1 b 3 Q 7 U 2 V j d G l v b j E v U 1 V N I D I w M T g v Q 2 h h b m d l Z C B U e X B l L n t D b 2 x 1 b W 4 y N S w y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V T S U y M D I w M T g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x O C 9 T V U 0 l M j A y M D E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x O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l M j A y M D E 4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x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I w V D E 2 O j U z O j Q x L j A 3 M D M 1 N T B a I i A v P j x F b n R y e S B U e X B l P S J G a W x s Q 2 9 s d W 1 u V H l w Z X M i I F Z h b H V l P S J z Q U F B R 0 F 3 V U F C U V V H Q l F Z Q U F 3 T U F C U V V E Q U F Z R 0 F 3 W U F B Q U F B I i A v P j x F b n R y e S B U e X B l P S J G a W x s Q 2 9 s d W 1 u T m F t Z X M i I F Z h b H V l P S J z W y Z x d W 9 0 O 0 N v b X B h b n k m c X V v d D s s J n F 1 b 3 Q 7 Q 2 9 s d W 1 u M i Z x d W 9 0 O y w m c X V v d D s g I E 1 p b m U g J n F 1 b 3 Q 7 L C Z x d W 9 0 O z I w M T k g U H J v Z H V j d G l v b i A o U 2 h v c n Q g V G 9 u c y k m c X V v d D s s J n F 1 b 3 Q 7 Q W N y Z X M g I C B C b 2 5 k Z W Q m c X V v d D s s J n F 1 b 3 Q 7 Q W N y Z X M g R G l z d H V y Y m V k J n F 1 b 3 Q 7 L C Z x d W 9 0 O 0 F j c m V z I C A g I E 1 p b m V k J n F 1 b 3 Q 7 L C Z x d W 9 0 O 1 N o b 3 J 0 I F R v b n M v I C A g I C A g I C A g I C A g I E F j c m U g T W l u Z W Q m c X V v d D s s J n F 1 b 3 Q 7 V G 9 0 Y W w g R m V l c y B D b 2 x s Z W N 0 Z W Q g J n F 1 b 3 Q 7 L C Z x d W 9 0 O 0 N v b H V t b j E w J n F 1 b 3 Q 7 L C Z x d W 9 0 O y A m c X V v d D s s J n F 1 b 3 Q 7 Z G l m I C R z J n F 1 b 3 Q 7 L C Z x d W 9 0 O z I w M T g g U H J v Z H V j d G l v b i A o U 2 h v c n Q g V G 9 u c y k m c X V v d D s s J n F 1 b 3 Q 7 R G l m Z m V y Z W 5 j Z S Z x d W 9 0 O y w m c X V v d D s l I G l u Y 3 J l Y X N l L y B k Z W N y Z W F z Z S w g e W V h c i B z d G 9 w c G V k I G 1 p b m l u Z y w g b 3 I g e W V h c i B y Z W x l Y X N l Z C B m c m 9 t I G J v b m Q m c X V v d D s s J n F 1 b 3 Q 7 M j A x O S B C b 2 5 k Z W Q g Q W N y Z X M g K E F c d T A w M j Z Q K S Z x d W 9 0 O y w m c X V v d D s y M D E 5 I E J v b m R l Z C B B Y 3 J l c y A o Q V x 1 M D A y N l A g d n M g Q 2 8 u K S Z x d W 9 0 O y w m c X V v d D s k Q 2 9 z d C Z x d W 9 0 O y w m c X V v d D t S Z X B v c n R l Z C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V U 0 g M j A x O S 9 D a G F u Z 2 V k I F R 5 c G U u e 0 N v b X B h b n k s M H 0 m c X V v d D s s J n F 1 b 3 Q 7 U 2 V j d G l v b j E v U 1 V N I D I w M T k v Q 2 h h b m d l Z C B U e X B l L n t D b 2 x 1 b W 4 y L D F 9 J n F 1 b 3 Q 7 L C Z x d W 9 0 O 1 N l Y 3 R p b 2 4 x L 1 N V T S A y M D E 5 L 0 N o Y W 5 n Z W Q g V H l w Z S 5 7 I C B N a W 5 l I C w y f S Z x d W 9 0 O y w m c X V v d D t T Z W N 0 a W 9 u M S 9 T V U 0 g M j A x O S 9 D a G F u Z 2 V k I F R 5 c G U u e z I w M T k g U H J v Z H V j d G l v b i A o U 2 h v c n Q g V G 9 u c y k s M 3 0 m c X V v d D s s J n F 1 b 3 Q 7 U 2 V j d G l v b j E v U 1 V N I D I w M T k v Q 2 h h b m d l Z C B U e X B l L n t B Y 3 J l c y A g I E J v b m R l Z C w 0 f S Z x d W 9 0 O y w m c X V v d D t T Z W N 0 a W 9 u M S 9 T V U 0 g M j A x O S 9 D a G F u Z 2 V k I F R 5 c G U u e 0 F j c m V z I E R p c 3 R 1 c m J l Z C w 1 f S Z x d W 9 0 O y w m c X V v d D t T Z W N 0 a W 9 u M S 9 T V U 0 g M j A x O S 9 D a G F u Z 2 V k I F R 5 c G U u e 0 F j c m V z I C A g I E 1 p b m V k L D Z 9 J n F 1 b 3 Q 7 L C Z x d W 9 0 O 1 N l Y 3 R p b 2 4 x L 1 N V T S A y M D E 5 L 0 N o Y W 5 n Z W Q g V H l w Z S 5 7 U 2 h v c n Q g V G 9 u c y 8 g I C A g I C A g I C A g I C A g Q W N y Z S B N a W 5 l Z C w 3 f S Z x d W 9 0 O y w m c X V v d D t T Z W N 0 a W 9 u M S 9 T V U 0 g M j A x O S 9 D a G F u Z 2 V k I F R 5 c G U u e 1 R v d G F s I E Z l Z X M g Q 2 9 s b G V j d G V k I C w 4 f S Z x d W 9 0 O y w m c X V v d D t T Z W N 0 a W 9 u M S 9 T V U 0 g M j A x O S 9 D a G F u Z 2 V k I F R 5 c G U u e 0 N v b H V t b j E w L D l 9 J n F 1 b 3 Q 7 L C Z x d W 9 0 O 1 N l Y 3 R p b 2 4 x L 1 N V T S A y M D E 5 L 0 N o Y W 5 n Z W Q g V H l w Z S 5 7 I C w x M H 0 m c X V v d D s s J n F 1 b 3 Q 7 U 2 V j d G l v b j E v U 1 V N I D I w M T k v Q 2 h h b m d l Z C B U e X B l L n t k a W Y g J H M s M T F 9 J n F 1 b 3 Q 7 L C Z x d W 9 0 O 1 N l Y 3 R p b 2 4 x L 1 N V T S A y M D E 5 L 0 N o Y W 5 n Z W Q g V H l w Z S 5 7 M j A x O C B Q c m 9 k d W N 0 a W 9 u I C h T a G 9 y d C B U b 2 5 z K S w x M n 0 m c X V v d D s s J n F 1 b 3 Q 7 U 2 V j d G l v b j E v U 1 V N I D I w M T k v Q 2 h h b m d l Z C B U e X B l L n t E a W Z m Z X J l b m N l L D E z f S Z x d W 9 0 O y w m c X V v d D t T Z W N 0 a W 9 u M S 9 T V U 0 g M j A x O S 9 D a G F u Z 2 V k I F R 5 c G U u e y U g a W 5 j c m V h c 2 U v I G R l Y 3 J l Y X N l L C B 5 Z W F y I H N 0 b 3 B w Z W Q g b W l u a W 5 n L C B v c i B 5 Z W F y I H J l b G V h c 2 V k I G Z y b 2 0 g Y m 9 u Z C w x N H 0 m c X V v d D s s J n F 1 b 3 Q 7 U 2 V j d G l v b j E v U 1 V N I D I w M T k v Q 2 h h b m d l Z C B U e X B l L n s y M D E 5 I E J v b m R l Z C B B Y 3 J l c y A o Q V x 1 M D A y N l A p L D E 1 f S Z x d W 9 0 O y w m c X V v d D t T Z W N 0 a W 9 u M S 9 T V U 0 g M j A x O S 9 D a G F u Z 2 V k I F R 5 c G U u e z I w M T k g Q m 9 u Z G V k I E F j c m V z I C h B X H U w M D I 2 U C B 2 c y B D b y 4 p L D E 2 f S Z x d W 9 0 O y w m c X V v d D t T Z W N 0 a W 9 u M S 9 T V U 0 g M j A x O S 9 D a G F u Z 2 V k I F R 5 c G U u e y R D b 3 N 0 L D E 3 f S Z x d W 9 0 O y w m c X V v d D t T Z W N 0 a W 9 u M S 9 T V U 0 g M j A x O S 9 D a G F u Z 2 V k I F R 5 c G U u e 1 J l c G 9 y d G V k L D E 4 f S Z x d W 9 0 O y w m c X V v d D t T Z W N 0 a W 9 u M S 9 T V U 0 g M j A x O S 9 D a G F u Z 2 V k I F R 5 c G U u e 0 N v b H V t b j I w L D E 5 f S Z x d W 9 0 O y w m c X V v d D t T Z W N 0 a W 9 u M S 9 T V U 0 g M j A x O S 9 D a G F u Z 2 V k I F R 5 c G U u e 0 N v b H V t b j I x L D I w f S Z x d W 9 0 O y w m c X V v d D t T Z W N 0 a W 9 u M S 9 T V U 0 g M j A x O S 9 D a G F u Z 2 V k I F R 5 c G U u e 0 N v b H V t b j I y L D I x f S Z x d W 9 0 O y w m c X V v d D t T Z W N 0 a W 9 u M S 9 T V U 0 g M j A x O S 9 D a G F u Z 2 V k I F R 5 c G U u e 0 N v b H V t b j I z L D I y f S Z x d W 9 0 O y w m c X V v d D t T Z W N 0 a W 9 u M S 9 T V U 0 g M j A x O S 9 D a G F u Z 2 V k I F R 5 c G U u e 0 N v b H V t b j I 0 L D I z f S Z x d W 9 0 O y w m c X V v d D t T Z W N 0 a W 9 u M S 9 T V U 0 g M j A x O S 9 D a G F u Z 2 V k I F R 5 c G U u e 0 N v b H V t b j I 1 L D I 0 f S Z x d W 9 0 O y w m c X V v d D t T Z W N 0 a W 9 u M S 9 T V U 0 g M j A x O S 9 D a G F u Z 2 V k I F R 5 c G U u e 0 N v b H V t b j I 2 L D I 1 f S Z x d W 9 0 O y w m c X V v d D t T Z W N 0 a W 9 u M S 9 T V U 0 g M j A x O S 9 D a G F u Z 2 V k I F R 5 c G U u e 0 N v b H V t b j I 3 L D I 2 f S Z x d W 9 0 O 1 0 s J n F 1 b 3 Q 7 Q 2 9 s d W 1 u Q 2 9 1 b n Q m c X V v d D s 6 M j c s J n F 1 b 3 Q 7 S 2 V 5 Q 2 9 s d W 1 u T m F t Z X M m c X V v d D s 6 W 1 0 s J n F 1 b 3 Q 7 Q 2 9 s d W 1 u S W R l b n R p d G l l c y Z x d W 9 0 O z p b J n F 1 b 3 Q 7 U 2 V j d G l v b j E v U 1 V N I D I w M T k v Q 2 h h b m d l Z C B U e X B l L n t D b 2 1 w Y W 5 5 L D B 9 J n F 1 b 3 Q 7 L C Z x d W 9 0 O 1 N l Y 3 R p b 2 4 x L 1 N V T S A y M D E 5 L 0 N o Y W 5 n Z W Q g V H l w Z S 5 7 Q 2 9 s d W 1 u M i w x f S Z x d W 9 0 O y w m c X V v d D t T Z W N 0 a W 9 u M S 9 T V U 0 g M j A x O S 9 D a G F u Z 2 V k I F R 5 c G U u e y A g T W l u Z S A s M n 0 m c X V v d D s s J n F 1 b 3 Q 7 U 2 V j d G l v b j E v U 1 V N I D I w M T k v Q 2 h h b m d l Z C B U e X B l L n s y M D E 5 I F B y b 2 R 1 Y 3 R p b 2 4 g K F N o b 3 J 0 I F R v b n M p L D N 9 J n F 1 b 3 Q 7 L C Z x d W 9 0 O 1 N l Y 3 R p b 2 4 x L 1 N V T S A y M D E 5 L 0 N o Y W 5 n Z W Q g V H l w Z S 5 7 Q W N y Z X M g I C B C b 2 5 k Z W Q s N H 0 m c X V v d D s s J n F 1 b 3 Q 7 U 2 V j d G l v b j E v U 1 V N I D I w M T k v Q 2 h h b m d l Z C B U e X B l L n t B Y 3 J l c y B E a X N 0 d X J i Z W Q s N X 0 m c X V v d D s s J n F 1 b 3 Q 7 U 2 V j d G l v b j E v U 1 V N I D I w M T k v Q 2 h h b m d l Z C B U e X B l L n t B Y 3 J l c y A g I C B N a W 5 l Z C w 2 f S Z x d W 9 0 O y w m c X V v d D t T Z W N 0 a W 9 u M S 9 T V U 0 g M j A x O S 9 D a G F u Z 2 V k I F R 5 c G U u e 1 N o b 3 J 0 I F R v b n M v I C A g I C A g I C A g I C A g I E F j c m U g T W l u Z W Q s N 3 0 m c X V v d D s s J n F 1 b 3 Q 7 U 2 V j d G l v b j E v U 1 V N I D I w M T k v Q 2 h h b m d l Z C B U e X B l L n t U b 3 R h b C B G Z W V z I E N v b G x l Y 3 R l Z C A s O H 0 m c X V v d D s s J n F 1 b 3 Q 7 U 2 V j d G l v b j E v U 1 V N I D I w M T k v Q 2 h h b m d l Z C B U e X B l L n t D b 2 x 1 b W 4 x M C w 5 f S Z x d W 9 0 O y w m c X V v d D t T Z W N 0 a W 9 u M S 9 T V U 0 g M j A x O S 9 D a G F u Z 2 V k I F R 5 c G U u e y A s M T B 9 J n F 1 b 3 Q 7 L C Z x d W 9 0 O 1 N l Y 3 R p b 2 4 x L 1 N V T S A y M D E 5 L 0 N o Y W 5 n Z W Q g V H l w Z S 5 7 Z G l m I C R z L D E x f S Z x d W 9 0 O y w m c X V v d D t T Z W N 0 a W 9 u M S 9 T V U 0 g M j A x O S 9 D a G F u Z 2 V k I F R 5 c G U u e z I w M T g g U H J v Z H V j d G l v b i A o U 2 h v c n Q g V G 9 u c y k s M T J 9 J n F 1 b 3 Q 7 L C Z x d W 9 0 O 1 N l Y 3 R p b 2 4 x L 1 N V T S A y M D E 5 L 0 N o Y W 5 n Z W Q g V H l w Z S 5 7 R G l m Z m V y Z W 5 j Z S w x M 3 0 m c X V v d D s s J n F 1 b 3 Q 7 U 2 V j d G l v b j E v U 1 V N I D I w M T k v Q 2 h h b m d l Z C B U e X B l L n s l I G l u Y 3 J l Y X N l L y B k Z W N y Z W F z Z S w g e W V h c i B z d G 9 w c G V k I G 1 p b m l u Z y w g b 3 I g e W V h c i B y Z W x l Y X N l Z C B m c m 9 t I G J v b m Q s M T R 9 J n F 1 b 3 Q 7 L C Z x d W 9 0 O 1 N l Y 3 R p b 2 4 x L 1 N V T S A y M D E 5 L 0 N o Y W 5 n Z W Q g V H l w Z S 5 7 M j A x O S B C b 2 5 k Z W Q g Q W N y Z X M g K E F c d T A w M j Z Q K S w x N X 0 m c X V v d D s s J n F 1 b 3 Q 7 U 2 V j d G l v b j E v U 1 V N I D I w M T k v Q 2 h h b m d l Z C B U e X B l L n s y M D E 5 I E J v b m R l Z C B B Y 3 J l c y A o Q V x 1 M D A y N l A g d n M g Q 2 8 u K S w x N n 0 m c X V v d D s s J n F 1 b 3 Q 7 U 2 V j d G l v b j E v U 1 V N I D I w M T k v Q 2 h h b m d l Z C B U e X B l L n s k Q 2 9 z d C w x N 3 0 m c X V v d D s s J n F 1 b 3 Q 7 U 2 V j d G l v b j E v U 1 V N I D I w M T k v Q 2 h h b m d l Z C B U e X B l L n t S Z X B v c n R l Z C w x O H 0 m c X V v d D s s J n F 1 b 3 Q 7 U 2 V j d G l v b j E v U 1 V N I D I w M T k v Q 2 h h b m d l Z C B U e X B l L n t D b 2 x 1 b W 4 y M C w x O X 0 m c X V v d D s s J n F 1 b 3 Q 7 U 2 V j d G l v b j E v U 1 V N I D I w M T k v Q 2 h h b m d l Z C B U e X B l L n t D b 2 x 1 b W 4 y M S w y M H 0 m c X V v d D s s J n F 1 b 3 Q 7 U 2 V j d G l v b j E v U 1 V N I D I w M T k v Q 2 h h b m d l Z C B U e X B l L n t D b 2 x 1 b W 4 y M i w y M X 0 m c X V v d D s s J n F 1 b 3 Q 7 U 2 V j d G l v b j E v U 1 V N I D I w M T k v Q 2 h h b m d l Z C B U e X B l L n t D b 2 x 1 b W 4 y M y w y M n 0 m c X V v d D s s J n F 1 b 3 Q 7 U 2 V j d G l v b j E v U 1 V N I D I w M T k v Q 2 h h b m d l Z C B U e X B l L n t D b 2 x 1 b W 4 y N C w y M 3 0 m c X V v d D s s J n F 1 b 3 Q 7 U 2 V j d G l v b j E v U 1 V N I D I w M T k v Q 2 h h b m d l Z C B U e X B l L n t D b 2 x 1 b W 4 y N S w y N H 0 m c X V v d D s s J n F 1 b 3 Q 7 U 2 V j d G l v b j E v U 1 V N I D I w M T k v Q 2 h h b m d l Z C B U e X B l L n t D b 2 x 1 b W 4 y N i w y N X 0 m c X V v d D s s J n F 1 b 3 Q 7 U 2 V j d G l v b j E v U 1 V N I D I w M T k v Q 2 h h b m d l Z C B U e X B l L n t D b 2 x 1 b W 4 y N y w y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V T S U y M D I w M T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x O S 9 T V U 0 l M j A y M D E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x O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l M j A y M D E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y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I w V D E 2 O j U z O j Q x L j A 3 M D M 1 N T B a I i A v P j x F b n R y e S B U e X B l P S J G a W x s Q 2 9 s d W 1 u V H l w Z X M i I F Z h b H V l P S J z Q U F B R 0 F 3 V U F C U V V H Q l F Z Q U F 3 T U F C U V V G Q U F Z Q U J n Q U d B Q U F B Q U E 9 P S I g L z 4 8 R W 5 0 c n k g V H l w Z T 0 i R m l s b E N v b H V t b k 5 h b W V z I i B W Y W x 1 Z T 0 i c 1 s m c X V v d D t D b 2 1 w Y W 5 5 J n F 1 b 3 Q 7 L C Z x d W 9 0 O 0 N v b H V t b j I m c X V v d D s s J n F 1 b 3 Q 7 I C B N a W 5 l I C Z x d W 9 0 O y w m c X V v d D s y M D I w I F B y b 2 R 1 Y 3 R p b 2 4 g K F N o b 3 J 0 I F R v b n M p J n F 1 b 3 Q 7 L C Z x d W 9 0 O 0 F j c m V z I C A g Q m 9 u Z G V k J n F 1 b 3 Q 7 L C Z x d W 9 0 O 0 F j c m V z I E R p c 3 R 1 c m J l Z C Z x d W 9 0 O y w m c X V v d D t B Y 3 J l c y A g I C B N a W 5 l Z C Z x d W 9 0 O y w m c X V v d D t T a G 9 y d C B U b 2 5 z L y A g I C A g I C A g I C A g I C B B Y 3 J l I E 1 p b m V k J n F 1 b 3 Q 7 L C Z x d W 9 0 O 1 R v d G F s I E Z l Z X M g Q 2 9 s b G V j d G V k I C Z x d W 9 0 O y w m c X V v d D t D b 2 x 1 b W 4 x M C Z x d W 9 0 O y w m c X V v d D s g J n F 1 b 3 Q 7 L C Z x d W 9 0 O 2 R p Z i A k c y Z x d W 9 0 O y w m c X V v d D s y M D E 5 I F B y b 2 R 1 Y 3 R p b 2 4 g K F N o b 3 J 0 I F R v b n M p J n F 1 b 3 Q 7 L C Z x d W 9 0 O 0 R p Z m Z l c m V u Y 2 U m c X V v d D s s J n F 1 b 3 Q 7 J S B p b m N y Z W F z Z S 8 g Z G V j c m V h c 2 U s I H l l Y X I g c 3 R v c H B l Z C B t a W 5 p b m c s I G 9 y I H l l Y X I g c m V s Z W F z Z W Q g Z n J v b S B i b 2 5 k J n F 1 b 3 Q 7 L C Z x d W 9 0 O z I w M j A g Q m 9 u Z G V k I E F j c m V z I C h B X H U w M D I 2 U C k m c X V v d D s s J n F 1 b 3 Q 7 M j A y M C B C b 2 5 k Z W Q g Q W N y Z X M g K E F c d T A w M j Z Q I H Z z I E N v L i k m c X V v d D s s J n F 1 b 3 Q 7 J E N v c 3 Q m c X V v d D s s J n F 1 b 3 Q 7 U m V w b 3 J 0 Z W Q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s s J n F 1 b 3 Q 7 Q 2 9 s d W 1 u M j c m c X V v d D s s J n F 1 b 3 Q 7 Q 2 9 s d W 1 u M j g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1 V N I D I w M j A v Q 2 h h b m d l Z C B U e X B l L n t D b 2 1 w Y W 5 5 L D B 9 J n F 1 b 3 Q 7 L C Z x d W 9 0 O 1 N l Y 3 R p b 2 4 x L 1 N V T S A y M D I w L 0 N o Y W 5 n Z W Q g V H l w Z S 5 7 Q 2 9 s d W 1 u M i w x f S Z x d W 9 0 O y w m c X V v d D t T Z W N 0 a W 9 u M S 9 T V U 0 g M j A y M C 9 D a G F u Z 2 V k I F R 5 c G U u e y A g T W l u Z S A s M n 0 m c X V v d D s s J n F 1 b 3 Q 7 U 2 V j d G l v b j E v U 1 V N I D I w M j A v Q 2 h h b m d l Z C B U e X B l L n s y M D I w I F B y b 2 R 1 Y 3 R p b 2 4 g K F N o b 3 J 0 I F R v b n M p L D N 9 J n F 1 b 3 Q 7 L C Z x d W 9 0 O 1 N l Y 3 R p b 2 4 x L 1 N V T S A y M D I w L 0 N o Y W 5 n Z W Q g V H l w Z S 5 7 Q W N y Z X M g I C B C b 2 5 k Z W Q s N H 0 m c X V v d D s s J n F 1 b 3 Q 7 U 2 V j d G l v b j E v U 1 V N I D I w M j A v Q 2 h h b m d l Z C B U e X B l L n t B Y 3 J l c y B E a X N 0 d X J i Z W Q s N X 0 m c X V v d D s s J n F 1 b 3 Q 7 U 2 V j d G l v b j E v U 1 V N I D I w M j A v Q 2 h h b m d l Z C B U e X B l L n t B Y 3 J l c y A g I C B N a W 5 l Z C w 2 f S Z x d W 9 0 O y w m c X V v d D t T Z W N 0 a W 9 u M S 9 T V U 0 g M j A y M C 9 D a G F u Z 2 V k I F R 5 c G U u e 1 N o b 3 J 0 I F R v b n M v I C A g I C A g I C A g I C A g I E F j c m U g T W l u Z W Q s N 3 0 m c X V v d D s s J n F 1 b 3 Q 7 U 2 V j d G l v b j E v U 1 V N I D I w M j A v Q 2 h h b m d l Z C B U e X B l L n t U b 3 R h b C B G Z W V z I E N v b G x l Y 3 R l Z C A s O H 0 m c X V v d D s s J n F 1 b 3 Q 7 U 2 V j d G l v b j E v U 1 V N I D I w M j A v Q 2 h h b m d l Z C B U e X B l L n t D b 2 x 1 b W 4 x M C w 5 f S Z x d W 9 0 O y w m c X V v d D t T Z W N 0 a W 9 u M S 9 T V U 0 g M j A y M C 9 D a G F u Z 2 V k I F R 5 c G U u e y A s M T B 9 J n F 1 b 3 Q 7 L C Z x d W 9 0 O 1 N l Y 3 R p b 2 4 x L 1 N V T S A y M D I w L 0 N o Y W 5 n Z W Q g V H l w Z S 5 7 Z G l m I C R z L D E x f S Z x d W 9 0 O y w m c X V v d D t T Z W N 0 a W 9 u M S 9 T V U 0 g M j A y M C 9 D a G F u Z 2 V k I F R 5 c G U u e z I w M T k g U H J v Z H V j d G l v b i A o U 2 h v c n Q g V G 9 u c y k s M T J 9 J n F 1 b 3 Q 7 L C Z x d W 9 0 O 1 N l Y 3 R p b 2 4 x L 1 N V T S A y M D I w L 0 N o Y W 5 n Z W Q g V H l w Z S 5 7 R G l m Z m V y Z W 5 j Z S w x M 3 0 m c X V v d D s s J n F 1 b 3 Q 7 U 2 V j d G l v b j E v U 1 V N I D I w M j A v Q 2 h h b m d l Z C B U e X B l L n s l I G l u Y 3 J l Y X N l L y B k Z W N y Z W F z Z S w g e W V h c i B z d G 9 w c G V k I G 1 p b m l u Z y w g b 3 I g e W V h c i B y Z W x l Y X N l Z C B m c m 9 t I G J v b m Q s M T R 9 J n F 1 b 3 Q 7 L C Z x d W 9 0 O 1 N l Y 3 R p b 2 4 x L 1 N V T S A y M D I w L 0 N o Y W 5 n Z W Q g V H l w Z S 5 7 M j A y M C B C b 2 5 k Z W Q g Q W N y Z X M g K E F c d T A w M j Z Q K S w x N X 0 m c X V v d D s s J n F 1 b 3 Q 7 U 2 V j d G l v b j E v U 1 V N I D I w M j A v Q 2 h h b m d l Z C B U e X B l L n s y M D I w I E J v b m R l Z C B B Y 3 J l c y A o Q V x 1 M D A y N l A g d n M g Q 2 8 u K S w x N n 0 m c X V v d D s s J n F 1 b 3 Q 7 U 2 V j d G l v b j E v U 1 V N I D I w M j A v Q 2 h h b m d l Z C B U e X B l L n s k Q 2 9 z d C w x N 3 0 m c X V v d D s s J n F 1 b 3 Q 7 U 2 V j d G l v b j E v U 1 V N I D I w M j A v Q 2 h h b m d l Z C B U e X B l L n t S Z X B v c n R l Z C w x O H 0 m c X V v d D s s J n F 1 b 3 Q 7 U 2 V j d G l v b j E v U 1 V N I D I w M j A v Q 2 h h b m d l Z C B U e X B l L n t D b 2 x 1 b W 4 y M C w x O X 0 m c X V v d D s s J n F 1 b 3 Q 7 U 2 V j d G l v b j E v U 1 V N I D I w M j A v Q 2 h h b m d l Z C B U e X B l L n t D b 2 x 1 b W 4 y M S w y M H 0 m c X V v d D s s J n F 1 b 3 Q 7 U 2 V j d G l v b j E v U 1 V N I D I w M j A v Q 2 h h b m d l Z C B U e X B l L n t D b 2 x 1 b W 4 y M i w y M X 0 m c X V v d D s s J n F 1 b 3 Q 7 U 2 V j d G l v b j E v U 1 V N I D I w M j A v Q 2 h h b m d l Z C B U e X B l L n t D b 2 x 1 b W 4 y M y w y M n 0 m c X V v d D s s J n F 1 b 3 Q 7 U 2 V j d G l v b j E v U 1 V N I D I w M j A v Q 2 h h b m d l Z C B U e X B l L n t D b 2 x 1 b W 4 y N C w y M 3 0 m c X V v d D s s J n F 1 b 3 Q 7 U 2 V j d G l v b j E v U 1 V N I D I w M j A v Q 2 h h b m d l Z C B U e X B l L n t D b 2 x 1 b W 4 y N S w y N H 0 m c X V v d D s s J n F 1 b 3 Q 7 U 2 V j d G l v b j E v U 1 V N I D I w M j A v Q 2 h h b m d l Z C B U e X B l L n t D b 2 x 1 b W 4 y N i w y N X 0 m c X V v d D s s J n F 1 b 3 Q 7 U 2 V j d G l v b j E v U 1 V N I D I w M j A v Q 2 h h b m d l Z C B U e X B l L n t D b 2 x 1 b W 4 y N y w y N n 0 m c X V v d D s s J n F 1 b 3 Q 7 U 2 V j d G l v b j E v U 1 V N I D I w M j A v Q 2 h h b m d l Z C B U e X B l L n t D b 2 x 1 b W 4 y O C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1 N V T S A y M D I w L 0 N o Y W 5 n Z W Q g V H l w Z S 5 7 Q 2 9 t c G F u e S w w f S Z x d W 9 0 O y w m c X V v d D t T Z W N 0 a W 9 u M S 9 T V U 0 g M j A y M C 9 D a G F u Z 2 V k I F R 5 c G U u e 0 N v b H V t b j I s M X 0 m c X V v d D s s J n F 1 b 3 Q 7 U 2 V j d G l v b j E v U 1 V N I D I w M j A v Q 2 h h b m d l Z C B U e X B l L n s g I E 1 p b m U g L D J 9 J n F 1 b 3 Q 7 L C Z x d W 9 0 O 1 N l Y 3 R p b 2 4 x L 1 N V T S A y M D I w L 0 N o Y W 5 n Z W Q g V H l w Z S 5 7 M j A y M C B Q c m 9 k d W N 0 a W 9 u I C h T a G 9 y d C B U b 2 5 z K S w z f S Z x d W 9 0 O y w m c X V v d D t T Z W N 0 a W 9 u M S 9 T V U 0 g M j A y M C 9 D a G F u Z 2 V k I F R 5 c G U u e 0 F j c m V z I C A g Q m 9 u Z G V k L D R 9 J n F 1 b 3 Q 7 L C Z x d W 9 0 O 1 N l Y 3 R p b 2 4 x L 1 N V T S A y M D I w L 0 N o Y W 5 n Z W Q g V H l w Z S 5 7 Q W N y Z X M g R G l z d H V y Y m V k L D V 9 J n F 1 b 3 Q 7 L C Z x d W 9 0 O 1 N l Y 3 R p b 2 4 x L 1 N V T S A y M D I w L 0 N o Y W 5 n Z W Q g V H l w Z S 5 7 Q W N y Z X M g I C A g T W l u Z W Q s N n 0 m c X V v d D s s J n F 1 b 3 Q 7 U 2 V j d G l v b j E v U 1 V N I D I w M j A v Q 2 h h b m d l Z C B U e X B l L n t T a G 9 y d C B U b 2 5 z L y A g I C A g I C A g I C A g I C B B Y 3 J l I E 1 p b m V k L D d 9 J n F 1 b 3 Q 7 L C Z x d W 9 0 O 1 N l Y 3 R p b 2 4 x L 1 N V T S A y M D I w L 0 N o Y W 5 n Z W Q g V H l w Z S 5 7 V G 9 0 Y W w g R m V l c y B D b 2 x s Z W N 0 Z W Q g L D h 9 J n F 1 b 3 Q 7 L C Z x d W 9 0 O 1 N l Y 3 R p b 2 4 x L 1 N V T S A y M D I w L 0 N o Y W 5 n Z W Q g V H l w Z S 5 7 Q 2 9 s d W 1 u M T A s O X 0 m c X V v d D s s J n F 1 b 3 Q 7 U 2 V j d G l v b j E v U 1 V N I D I w M j A v Q 2 h h b m d l Z C B U e X B l L n s g L D E w f S Z x d W 9 0 O y w m c X V v d D t T Z W N 0 a W 9 u M S 9 T V U 0 g M j A y M C 9 D a G F u Z 2 V k I F R 5 c G U u e 2 R p Z i A k c y w x M X 0 m c X V v d D s s J n F 1 b 3 Q 7 U 2 V j d G l v b j E v U 1 V N I D I w M j A v Q 2 h h b m d l Z C B U e X B l L n s y M D E 5 I F B y b 2 R 1 Y 3 R p b 2 4 g K F N o b 3 J 0 I F R v b n M p L D E y f S Z x d W 9 0 O y w m c X V v d D t T Z W N 0 a W 9 u M S 9 T V U 0 g M j A y M C 9 D a G F u Z 2 V k I F R 5 c G U u e 0 R p Z m Z l c m V u Y 2 U s M T N 9 J n F 1 b 3 Q 7 L C Z x d W 9 0 O 1 N l Y 3 R p b 2 4 x L 1 N V T S A y M D I w L 0 N o Y W 5 n Z W Q g V H l w Z S 5 7 J S B p b m N y Z W F z Z S 8 g Z G V j c m V h c 2 U s I H l l Y X I g c 3 R v c H B l Z C B t a W 5 p b m c s I G 9 y I H l l Y X I g c m V s Z W F z Z W Q g Z n J v b S B i b 2 5 k L D E 0 f S Z x d W 9 0 O y w m c X V v d D t T Z W N 0 a W 9 u M S 9 T V U 0 g M j A y M C 9 D a G F u Z 2 V k I F R 5 c G U u e z I w M j A g Q m 9 u Z G V k I E F j c m V z I C h B X H U w M D I 2 U C k s M T V 9 J n F 1 b 3 Q 7 L C Z x d W 9 0 O 1 N l Y 3 R p b 2 4 x L 1 N V T S A y M D I w L 0 N o Y W 5 n Z W Q g V H l w Z S 5 7 M j A y M C B C b 2 5 k Z W Q g Q W N y Z X M g K E F c d T A w M j Z Q I H Z z I E N v L i k s M T Z 9 J n F 1 b 3 Q 7 L C Z x d W 9 0 O 1 N l Y 3 R p b 2 4 x L 1 N V T S A y M D I w L 0 N o Y W 5 n Z W Q g V H l w Z S 5 7 J E N v c 3 Q s M T d 9 J n F 1 b 3 Q 7 L C Z x d W 9 0 O 1 N l Y 3 R p b 2 4 x L 1 N V T S A y M D I w L 0 N o Y W 5 n Z W Q g V H l w Z S 5 7 U m V w b 3 J 0 Z W Q s M T h 9 J n F 1 b 3 Q 7 L C Z x d W 9 0 O 1 N l Y 3 R p b 2 4 x L 1 N V T S A y M D I w L 0 N o Y W 5 n Z W Q g V H l w Z S 5 7 Q 2 9 s d W 1 u M j A s M T l 9 J n F 1 b 3 Q 7 L C Z x d W 9 0 O 1 N l Y 3 R p b 2 4 x L 1 N V T S A y M D I w L 0 N o Y W 5 n Z W Q g V H l w Z S 5 7 Q 2 9 s d W 1 u M j E s M j B 9 J n F 1 b 3 Q 7 L C Z x d W 9 0 O 1 N l Y 3 R p b 2 4 x L 1 N V T S A y M D I w L 0 N o Y W 5 n Z W Q g V H l w Z S 5 7 Q 2 9 s d W 1 u M j I s M j F 9 J n F 1 b 3 Q 7 L C Z x d W 9 0 O 1 N l Y 3 R p b 2 4 x L 1 N V T S A y M D I w L 0 N o Y W 5 n Z W Q g V H l w Z S 5 7 Q 2 9 s d W 1 u M j M s M j J 9 J n F 1 b 3 Q 7 L C Z x d W 9 0 O 1 N l Y 3 R p b 2 4 x L 1 N V T S A y M D I w L 0 N o Y W 5 n Z W Q g V H l w Z S 5 7 Q 2 9 s d W 1 u M j Q s M j N 9 J n F 1 b 3 Q 7 L C Z x d W 9 0 O 1 N l Y 3 R p b 2 4 x L 1 N V T S A y M D I w L 0 N o Y W 5 n Z W Q g V H l w Z S 5 7 Q 2 9 s d W 1 u M j U s M j R 9 J n F 1 b 3 Q 7 L C Z x d W 9 0 O 1 N l Y 3 R p b 2 4 x L 1 N V T S A y M D I w L 0 N o Y W 5 n Z W Q g V H l w Z S 5 7 Q 2 9 s d W 1 u M j Y s M j V 9 J n F 1 b 3 Q 7 L C Z x d W 9 0 O 1 N l Y 3 R p b 2 4 x L 1 N V T S A y M D I w L 0 N o Y W 5 n Z W Q g V H l w Z S 5 7 Q 2 9 s d W 1 u M j c s M j Z 9 J n F 1 b 3 Q 7 L C Z x d W 9 0 O 1 N l Y 3 R p b 2 4 x L 1 N V T S A y M D I w L 0 N o Y W 5 n Z W Q g V H l w Z S 5 7 Q 2 9 s d W 1 u M j g s M j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V U 0 l M j A y M D I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S U y M D I w M j A v U 1 V N J T I w M j A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S U y M D I w M j A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J T I w M j A y M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y M F Q x N j o 1 M z o 0 M S 4 w O D U 5 N j M z W i I g L z 4 8 R W 5 0 c n k g V H l w Z T 0 i R m l s b E N v b H V t b l R 5 c G V z I i B W Y W x 1 Z T 0 i c 0 J n W U F B Q U F B Q U F B Q S I g L z 4 8 R W 5 0 c n k g V H l w Z T 0 i R m l s b E N v b H V t b k 5 h b W V z I i B W Y W x 1 Z T 0 i c 1 s m c X V v d D s y M D A w I F R F W E F T I E x J R 0 5 J V E U g U F J P R F V D V E l P T i B T V U 1 N Q V J Z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T T I w M D A v Q 2 h h b m d l Z C B U e X B l L n s y M D A w I F R F W E F T I E x J R 0 5 J V E U g U F J P R F V D V E l P T i B T V U 1 N Q V J Z L D B 9 J n F 1 b 3 Q 7 L C Z x d W 9 0 O 1 N l Y 3 R p b 2 4 x L 1 N V T T I w M D A v Q 2 h h b m d l Z C B U e X B l L n t D b 2 x 1 b W 4 y L D F 9 J n F 1 b 3 Q 7 L C Z x d W 9 0 O 1 N l Y 3 R p b 2 4 x L 1 N V T T I w M D A v Q 2 h h b m d l Z C B U e X B l L n t D b 2 x 1 b W 4 z L D J 9 J n F 1 b 3 Q 7 L C Z x d W 9 0 O 1 N l Y 3 R p b 2 4 x L 1 N V T T I w M D A v Q 2 h h b m d l Z C B U e X B l L n t D b 2 x 1 b W 4 0 L D N 9 J n F 1 b 3 Q 7 L C Z x d W 9 0 O 1 N l Y 3 R p b 2 4 x L 1 N V T T I w M D A v Q 2 h h b m d l Z C B U e X B l L n t D b 2 x 1 b W 4 1 L D R 9 J n F 1 b 3 Q 7 L C Z x d W 9 0 O 1 N l Y 3 R p b 2 4 x L 1 N V T T I w M D A v Q 2 h h b m d l Z C B U e X B l L n t D b 2 x 1 b W 4 2 L D V 9 J n F 1 b 3 Q 7 L C Z x d W 9 0 O 1 N l Y 3 R p b 2 4 x L 1 N V T T I w M D A v Q 2 h h b m d l Z C B U e X B l L n t D b 2 x 1 b W 4 3 L D Z 9 J n F 1 b 3 Q 7 L C Z x d W 9 0 O 1 N l Y 3 R p b 2 4 x L 1 N V T T I w M D A v Q 2 h h b m d l Z C B U e X B l L n t D b 2 x 1 b W 4 4 L D d 9 J n F 1 b 3 Q 7 L C Z x d W 9 0 O 1 N l Y 3 R p b 2 4 x L 1 N V T T I w M D A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N V T T I w M D A v Q 2 h h b m d l Z C B U e X B l L n s y M D A w I F R F W E F T I E x J R 0 5 J V E U g U F J P R F V D V E l P T i B T V U 1 N Q V J Z L D B 9 J n F 1 b 3 Q 7 L C Z x d W 9 0 O 1 N l Y 3 R p b 2 4 x L 1 N V T T I w M D A v Q 2 h h b m d l Z C B U e X B l L n t D b 2 x 1 b W 4 y L D F 9 J n F 1 b 3 Q 7 L C Z x d W 9 0 O 1 N l Y 3 R p b 2 4 x L 1 N V T T I w M D A v Q 2 h h b m d l Z C B U e X B l L n t D b 2 x 1 b W 4 z L D J 9 J n F 1 b 3 Q 7 L C Z x d W 9 0 O 1 N l Y 3 R p b 2 4 x L 1 N V T T I w M D A v Q 2 h h b m d l Z C B U e X B l L n t D b 2 x 1 b W 4 0 L D N 9 J n F 1 b 3 Q 7 L C Z x d W 9 0 O 1 N l Y 3 R p b 2 4 x L 1 N V T T I w M D A v Q 2 h h b m d l Z C B U e X B l L n t D b 2 x 1 b W 4 1 L D R 9 J n F 1 b 3 Q 7 L C Z x d W 9 0 O 1 N l Y 3 R p b 2 4 x L 1 N V T T I w M D A v Q 2 h h b m d l Z C B U e X B l L n t D b 2 x 1 b W 4 2 L D V 9 J n F 1 b 3 Q 7 L C Z x d W 9 0 O 1 N l Y 3 R p b 2 4 x L 1 N V T T I w M D A v Q 2 h h b m d l Z C B U e X B l L n t D b 2 x 1 b W 4 3 L D Z 9 J n F 1 b 3 Q 7 L C Z x d W 9 0 O 1 N l Y 3 R p b 2 4 x L 1 N V T T I w M D A v Q 2 h h b m d l Z C B U e X B l L n t D b 2 x 1 b W 4 4 L D d 9 J n F 1 b 3 Q 7 L C Z x d W 9 0 O 1 N l Y 3 R p b 2 4 x L 1 N V T T I w M D A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V U 0 y M D A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A v U 1 V N M j A w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A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M j A w M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y M F Q x N j o 1 M z o 0 M S 4 x M T c y M T A 3 W i I g L z 4 8 R W 5 0 c n k g V H l w Z T 0 i R m l s b E N v b H V t b l R 5 c G V z I i B W Y W x 1 Z T 0 i c 0 J n W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T T I w M D E v Q 2 h h b m d l Z C B U e X B l L n t D b 2 x 1 b W 4 x L D B 9 J n F 1 b 3 Q 7 L C Z x d W 9 0 O 1 N l Y 3 R p b 2 4 x L 1 N V T T I w M D E v Q 2 h h b m d l Z C B U e X B l L n t D b 2 x 1 b W 4 y L D F 9 J n F 1 b 3 Q 7 L C Z x d W 9 0 O 1 N l Y 3 R p b 2 4 x L 1 N V T T I w M D E v Q 2 h h b m d l Z C B U e X B l L n t D b 2 x 1 b W 4 z L D J 9 J n F 1 b 3 Q 7 L C Z x d W 9 0 O 1 N l Y 3 R p b 2 4 x L 1 N V T T I w M D E v Q 2 h h b m d l Z C B U e X B l L n t D b 2 x 1 b W 4 0 L D N 9 J n F 1 b 3 Q 7 L C Z x d W 9 0 O 1 N l Y 3 R p b 2 4 x L 1 N V T T I w M D E v Q 2 h h b m d l Z C B U e X B l L n t D b 2 x 1 b W 4 1 L D R 9 J n F 1 b 3 Q 7 L C Z x d W 9 0 O 1 N l Y 3 R p b 2 4 x L 1 N V T T I w M D E v Q 2 h h b m d l Z C B U e X B l L n t D b 2 x 1 b W 4 2 L D V 9 J n F 1 b 3 Q 7 L C Z x d W 9 0 O 1 N l Y 3 R p b 2 4 x L 1 N V T T I w M D E v Q 2 h h b m d l Z C B U e X B l L n t D b 2 x 1 b W 4 3 L D Z 9 J n F 1 b 3 Q 7 L C Z x d W 9 0 O 1 N l Y 3 R p b 2 4 x L 1 N V T T I w M D E v Q 2 h h b m d l Z C B U e X B l L n t D b 2 x 1 b W 4 4 L D d 9 J n F 1 b 3 Q 7 L C Z x d W 9 0 O 1 N l Y 3 R p b 2 4 x L 1 N V T T I w M D E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N V T T I w M D E v Q 2 h h b m d l Z C B U e X B l L n t D b 2 x 1 b W 4 x L D B 9 J n F 1 b 3 Q 7 L C Z x d W 9 0 O 1 N l Y 3 R p b 2 4 x L 1 N V T T I w M D E v Q 2 h h b m d l Z C B U e X B l L n t D b 2 x 1 b W 4 y L D F 9 J n F 1 b 3 Q 7 L C Z x d W 9 0 O 1 N l Y 3 R p b 2 4 x L 1 N V T T I w M D E v Q 2 h h b m d l Z C B U e X B l L n t D b 2 x 1 b W 4 z L D J 9 J n F 1 b 3 Q 7 L C Z x d W 9 0 O 1 N l Y 3 R p b 2 4 x L 1 N V T T I w M D E v Q 2 h h b m d l Z C B U e X B l L n t D b 2 x 1 b W 4 0 L D N 9 J n F 1 b 3 Q 7 L C Z x d W 9 0 O 1 N l Y 3 R p b 2 4 x L 1 N V T T I w M D E v Q 2 h h b m d l Z C B U e X B l L n t D b 2 x 1 b W 4 1 L D R 9 J n F 1 b 3 Q 7 L C Z x d W 9 0 O 1 N l Y 3 R p b 2 4 x L 1 N V T T I w M D E v Q 2 h h b m d l Z C B U e X B l L n t D b 2 x 1 b W 4 2 L D V 9 J n F 1 b 3 Q 7 L C Z x d W 9 0 O 1 N l Y 3 R p b 2 4 x L 1 N V T T I w M D E v Q 2 h h b m d l Z C B U e X B l L n t D b 2 x 1 b W 4 3 L D Z 9 J n F 1 b 3 Q 7 L C Z x d W 9 0 O 1 N l Y 3 R p b 2 4 x L 1 N V T T I w M D E v Q 2 h h b m d l Z C B U e X B l L n t D b 2 x 1 b W 4 4 L D d 9 J n F 1 b 3 Q 7 L C Z x d W 9 0 O 1 N l Y 3 R p b 2 4 x L 1 N V T T I w M D E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V U 0 y M D A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E v U 1 V N M j A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A i I C 8 + P E V u d H J 5 I F R 5 c G U 9 I k Z p b G x F c n J v c k N v Z G U i I F Z h b H V l P S J z V W 5 r b m 9 3 b i I g L z 4 8 R W 5 0 c n k g V H l w Z T 0 i R m l s b E V y c m 9 y Q 2 9 1 b n Q i I F Z h b H V l P S J s M S I g L z 4 8 R W 5 0 c n k g V H l w Z T 0 i R m l s b E x h c 3 R V c G R h d G V k I i B W Y W x 1 Z T 0 i Z D I w M j E t M D Q t M j B U M T Y 6 N T M 6 N D E u M T E 3 M j E w N 1 o i I C 8 + P E V u d H J 5 I F R 5 c G U 9 I k Z p b G x D b 2 x 1 b W 5 U e X B l c y I g V m F s d W U 9 I n N C Z 1 l G Q l F V R k J R V U E i I C 8 + P E V u d H J 5 I F R 5 c G U 9 I k Z p b G x D b 2 x 1 b W 5 O Y W 1 l c y I g V m F s d W U 9 I n N b J n F 1 b 3 Q 7 Q 2 9 t c G F u e S Z x d W 9 0 O y w m c X V v d D s g I E 1 p b m U g J n F 1 b 3 Q 7 L C Z x d W 9 0 O 1 B y b 2 R 1 Y 3 R p b 2 4 g K F N o b 3 J 0 I F R v b n M p J n F 1 b 3 Q 7 L C Z x d W 9 0 O 0 F j c m V z I C A g I C A g I C A g I C A g I E 1 p b m V k J n F 1 b 3 Q 7 L C Z x d W 9 0 O 0 Z l Z S B D b 2 x s Z W N 0 Z W Q g K C Q x M j A v Q W N y Z S k m c X V v d D s s J n F 1 b 3 Q 7 R G l z d C 4 g Q W M m c X V v d D s s J n F 1 b 3 Q 7 R G l z d C 4 g Q W N f M S Z x d W 9 0 O y w m c X V v d D t E a X N 0 L i B B Y 1 8 y J n F 1 b 3 Q 7 L C Z x d W 9 0 O 1 B y b 3 B v c 2 V k I E Z l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T T I w M D I v Q 2 h h b m d l Z C B U e X B l L n t D b 2 1 w Y W 5 5 L D B 9 J n F 1 b 3 Q 7 L C Z x d W 9 0 O 1 N l Y 3 R p b 2 4 x L 1 N V T T I w M D I v Q 2 h h b m d l Z C B U e X B l L n s g I E 1 p b m U g L D F 9 J n F 1 b 3 Q 7 L C Z x d W 9 0 O 1 N l Y 3 R p b 2 4 x L 1 N V T T I w M D I v Q 2 h h b m d l Z C B U e X B l L n t Q c m 9 k d W N 0 a W 9 u I C h T a G 9 y d C B U b 2 5 z K S w y f S Z x d W 9 0 O y w m c X V v d D t T Z W N 0 a W 9 u M S 9 T V U 0 y M D A y L 0 N o Y W 5 n Z W Q g V H l w Z S 5 7 Q W N y Z X M g I C A g I C A g I C A g I C A g T W l u Z W Q s M 3 0 m c X V v d D s s J n F 1 b 3 Q 7 U 2 V j d G l v b j E v U 1 V N M j A w M i 9 D a G F u Z 2 V k I F R 5 c G U u e 0 Z l Z S B D b 2 x s Z W N 0 Z W Q g K C Q x M j A v Q W N y Z S k s N H 0 m c X V v d D s s J n F 1 b 3 Q 7 U 2 V j d G l v b j E v U 1 V N M j A w M i 9 D a G F u Z 2 V k I F R 5 c G U u e 0 R p c 3 Q u I E F j L D V 9 J n F 1 b 3 Q 7 L C Z x d W 9 0 O 1 N l Y 3 R p b 2 4 x L 1 N V T T I w M D I v Q 2 h h b m d l Z C B U e X B l L n t E a X N 0 L i B B Y 1 8 x L D Z 9 J n F 1 b 3 Q 7 L C Z x d W 9 0 O 1 N l Y 3 R p b 2 4 x L 1 N V T T I w M D I v Q 2 h h b m d l Z C B U e X B l L n t E a X N 0 L i B B Y 1 8 y L D d 9 J n F 1 b 3 Q 7 L C Z x d W 9 0 O 1 N l Y 3 R p b 2 4 x L 1 N V T T I w M D I v Q 2 h h b m d l Z C B U e X B l L n t Q c m 9 w b 3 N l Z C B G Z W U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1 V N M j A w M i 9 D a G F u Z 2 V k I F R 5 c G U u e 0 N v b X B h b n k s M H 0 m c X V v d D s s J n F 1 b 3 Q 7 U 2 V j d G l v b j E v U 1 V N M j A w M i 9 D a G F u Z 2 V k I F R 5 c G U u e y A g T W l u Z S A s M X 0 m c X V v d D s s J n F 1 b 3 Q 7 U 2 V j d G l v b j E v U 1 V N M j A w M i 9 D a G F u Z 2 V k I F R 5 c G U u e 1 B y b 2 R 1 Y 3 R p b 2 4 g K F N o b 3 J 0 I F R v b n M p L D J 9 J n F 1 b 3 Q 7 L C Z x d W 9 0 O 1 N l Y 3 R p b 2 4 x L 1 N V T T I w M D I v Q 2 h h b m d l Z C B U e X B l L n t B Y 3 J l c y A g I C A g I C A g I C A g I C B N a W 5 l Z C w z f S Z x d W 9 0 O y w m c X V v d D t T Z W N 0 a W 9 u M S 9 T V U 0 y M D A y L 0 N o Y W 5 n Z W Q g V H l w Z S 5 7 R m V l I E N v b G x l Y 3 R l Z C A o J D E y M C 9 B Y 3 J l K S w 0 f S Z x d W 9 0 O y w m c X V v d D t T Z W N 0 a W 9 u M S 9 T V U 0 y M D A y L 0 N o Y W 5 n Z W Q g V H l w Z S 5 7 R G l z d C 4 g Q W M s N X 0 m c X V v d D s s J n F 1 b 3 Q 7 U 2 V j d G l v b j E v U 1 V N M j A w M i 9 D a G F u Z 2 V k I F R 5 c G U u e 0 R p c 3 Q u I E F j X z E s N n 0 m c X V v d D s s J n F 1 b 3 Q 7 U 2 V j d G l v b j E v U 1 V N M j A w M i 9 D a G F u Z 2 V k I F R 5 c G U u e 0 R p c 3 Q u I E F j X z I s N 3 0 m c X V v d D s s J n F 1 b 3 Q 7 U 2 V j d G l v b j E v U 1 V N M j A w M i 9 D a G F u Z 2 V k I F R 5 c G U u e 1 B y b 3 B v c 2 V k I E Z l Z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1 V N M j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y L 1 N V T T I w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z k i I C 8 + P E V u d H J 5 I F R 5 c G U 9 I k Z p b G x F c n J v c k N v Z G U i I F Z h b H V l P S J z V W 5 r b m 9 3 b i I g L z 4 8 R W 5 0 c n k g V H l w Z T 0 i R m l s b E V y c m 9 y Q 2 9 1 b n Q i I F Z h b H V l P S J s M i I g L z 4 8 R W 5 0 c n k g V H l w Z T 0 i R m l s b E x h c 3 R V c G R h d G V k I i B W Y W x 1 Z T 0 i Z D I w M j E t M D Q t M j B U M T Y 6 N T M 6 N D E u M T M 5 M z M 3 N 1 o i I C 8 + P E V u d H J 5 I F R 5 c G U 9 I k Z p b G x D b 2 x 1 b W 5 U e X B l c y I g V m F s d W U 9 I n N C Z 1 l E Q l F V R k J R V U Z C U V V G Q U F B Q S I g L z 4 8 R W 5 0 c n k g V H l w Z T 0 i R m l s b E N v b H V t b k 5 h b W V z I i B W Y W x 1 Z T 0 i c 1 s m c X V v d D t D b 2 1 w Y W 5 5 J n F 1 b 3 Q 7 L C Z x d W 9 0 O y A g T W l u Z S A m c X V v d D s s J n F 1 b 3 Q 7 U H J v Z H V j d G l v b i A o U 2 h v c n Q g V G 9 u c y k m c X V v d D s s J n F 1 b 3 Q 7 R G l z d H V y Y m V k I E F j c m V z J n F 1 b 3 Q 7 L C Z x d W 9 0 O 0 F j c m V z I E 1 p b m V k I F B y a W 9 y I H R v I D g v M z E v M D M m c X V v d D s s J n F 1 b 3 Q 7 Q W N y Z X M g T W l u Z W Q g Q W Z 0 Z X I g O C 8 z M S 8 w M y Z x d W 9 0 O y w m c X V v d D t U b 3 R h b C B B Y 3 J l c y B N a W 5 l Z C Z x d W 9 0 O y w m c X V v d D t U b 2 5 z L 0 F j c m U m c X V v d D s s J n F 1 b 3 Q 7 V G 9 0 Y W w g R m V l I E N v b G x l Y 3 R l Z C A m c X V v d D s s J n F 1 b 3 Q 7 R G l z d C 4 g Q W M m c X V v d D s s J n F 1 b 3 Q 7 R G l z d C 4 g Q W N f M S Z x d W 9 0 O y w m c X V v d D t E a X N 0 L i B B Y 1 8 y J n F 1 b 3 Q 7 L C Z x d W 9 0 O 1 B y b 3 B v c 2 V k I E Z l Z S Z x d W 9 0 O y w m c X V v d D t D b 2 x 1 b W 4 x N C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V U 0 y M D A z L 0 N o Y W 5 n Z W Q g V H l w Z S 5 7 Q 2 9 t c G F u e S w w f S Z x d W 9 0 O y w m c X V v d D t T Z W N 0 a W 9 u M S 9 T V U 0 y M D A z L 0 N o Y W 5 n Z W Q g V H l w Z S 5 7 I C B N a W 5 l I C w x f S Z x d W 9 0 O y w m c X V v d D t T Z W N 0 a W 9 u M S 9 T V U 0 y M D A z L 0 N o Y W 5 n Z W Q g V H l w Z S 5 7 U H J v Z H V j d G l v b i A o U 2 h v c n Q g V G 9 u c y k s M n 0 m c X V v d D s s J n F 1 b 3 Q 7 U 2 V j d G l v b j E v U 1 V N M j A w M y 9 D a G F u Z 2 V k I F R 5 c G U u e 0 R p c 3 R 1 c m J l Z C B B Y 3 J l c y w z f S Z x d W 9 0 O y w m c X V v d D t T Z W N 0 a W 9 u M S 9 T V U 0 y M D A z L 0 N o Y W 5 n Z W Q g V H l w Z S 5 7 Q W N y Z X M g T W l u Z W Q g U H J p b 3 I g d G 8 g O C 8 z M S 8 w M y w 0 f S Z x d W 9 0 O y w m c X V v d D t T Z W N 0 a W 9 u M S 9 T V U 0 y M D A z L 0 N o Y W 5 n Z W Q g V H l w Z S 5 7 Q W N y Z X M g T W l u Z W Q g Q W Z 0 Z X I g O C 8 z M S 8 w M y w 1 f S Z x d W 9 0 O y w m c X V v d D t T Z W N 0 a W 9 u M S 9 T V U 0 y M D A z L 0 N o Y W 5 n Z W Q g V H l w Z S 5 7 V G 9 0 Y W w g Q W N y Z X M g T W l u Z W Q s N n 0 m c X V v d D s s J n F 1 b 3 Q 7 U 2 V j d G l v b j E v U 1 V N M j A w M y 9 D a G F u Z 2 V k I F R 5 c G U u e 1 R v b n M v Q W N y Z S w 3 f S Z x d W 9 0 O y w m c X V v d D t T Z W N 0 a W 9 u M S 9 T V U 0 y M D A z L 0 N o Y W 5 n Z W Q g V H l w Z S 5 7 V G 9 0 Y W w g R m V l I E N v b G x l Y 3 R l Z C A s O H 0 m c X V v d D s s J n F 1 b 3 Q 7 U 2 V j d G l v b j E v U 1 V N M j A w M y 9 D a G F u Z 2 V k I F R 5 c G U u e 0 R p c 3 Q u I E F j L D l 9 J n F 1 b 3 Q 7 L C Z x d W 9 0 O 1 N l Y 3 R p b 2 4 x L 1 N V T T I w M D M v Q 2 h h b m d l Z C B U e X B l L n t E a X N 0 L i B B Y 1 8 x L D E w f S Z x d W 9 0 O y w m c X V v d D t T Z W N 0 a W 9 u M S 9 T V U 0 y M D A z L 0 N o Y W 5 n Z W Q g V H l w Z S 5 7 R G l z d C 4 g Q W N f M i w x M X 0 m c X V v d D s s J n F 1 b 3 Q 7 U 2 V j d G l v b j E v U 1 V N M j A w M y 9 D a G F u Z 2 V k I F R 5 c G U u e 1 B y b 3 B v c 2 V k I E Z l Z S w x M n 0 m c X V v d D s s J n F 1 b 3 Q 7 U 2 V j d G l v b j E v U 1 V N M j A w M y 9 D a G F u Z 2 V k I F R 5 c G U u e 0 N v b H V t b j E 0 L D E z f S Z x d W 9 0 O y w m c X V v d D t T Z W N 0 a W 9 u M S 9 T V U 0 y M D A z L 0 N o Y W 5 n Z W Q g V H l w Z S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T V U 0 y M D A z L 0 N o Y W 5 n Z W Q g V H l w Z S 5 7 Q 2 9 t c G F u e S w w f S Z x d W 9 0 O y w m c X V v d D t T Z W N 0 a W 9 u M S 9 T V U 0 y M D A z L 0 N o Y W 5 n Z W Q g V H l w Z S 5 7 I C B N a W 5 l I C w x f S Z x d W 9 0 O y w m c X V v d D t T Z W N 0 a W 9 u M S 9 T V U 0 y M D A z L 0 N o Y W 5 n Z W Q g V H l w Z S 5 7 U H J v Z H V j d G l v b i A o U 2 h v c n Q g V G 9 u c y k s M n 0 m c X V v d D s s J n F 1 b 3 Q 7 U 2 V j d G l v b j E v U 1 V N M j A w M y 9 D a G F u Z 2 V k I F R 5 c G U u e 0 R p c 3 R 1 c m J l Z C B B Y 3 J l c y w z f S Z x d W 9 0 O y w m c X V v d D t T Z W N 0 a W 9 u M S 9 T V U 0 y M D A z L 0 N o Y W 5 n Z W Q g V H l w Z S 5 7 Q W N y Z X M g T W l u Z W Q g U H J p b 3 I g d G 8 g O C 8 z M S 8 w M y w 0 f S Z x d W 9 0 O y w m c X V v d D t T Z W N 0 a W 9 u M S 9 T V U 0 y M D A z L 0 N o Y W 5 n Z W Q g V H l w Z S 5 7 Q W N y Z X M g T W l u Z W Q g Q W Z 0 Z X I g O C 8 z M S 8 w M y w 1 f S Z x d W 9 0 O y w m c X V v d D t T Z W N 0 a W 9 u M S 9 T V U 0 y M D A z L 0 N o Y W 5 n Z W Q g V H l w Z S 5 7 V G 9 0 Y W w g Q W N y Z X M g T W l u Z W Q s N n 0 m c X V v d D s s J n F 1 b 3 Q 7 U 2 V j d G l v b j E v U 1 V N M j A w M y 9 D a G F u Z 2 V k I F R 5 c G U u e 1 R v b n M v Q W N y Z S w 3 f S Z x d W 9 0 O y w m c X V v d D t T Z W N 0 a W 9 u M S 9 T V U 0 y M D A z L 0 N o Y W 5 n Z W Q g V H l w Z S 5 7 V G 9 0 Y W w g R m V l I E N v b G x l Y 3 R l Z C A s O H 0 m c X V v d D s s J n F 1 b 3 Q 7 U 2 V j d G l v b j E v U 1 V N M j A w M y 9 D a G F u Z 2 V k I F R 5 c G U u e 0 R p c 3 Q u I E F j L D l 9 J n F 1 b 3 Q 7 L C Z x d W 9 0 O 1 N l Y 3 R p b 2 4 x L 1 N V T T I w M D M v Q 2 h h b m d l Z C B U e X B l L n t E a X N 0 L i B B Y 1 8 x L D E w f S Z x d W 9 0 O y w m c X V v d D t T Z W N 0 a W 9 u M S 9 T V U 0 y M D A z L 0 N o Y W 5 n Z W Q g V H l w Z S 5 7 R G l z d C 4 g Q W N f M i w x M X 0 m c X V v d D s s J n F 1 b 3 Q 7 U 2 V j d G l v b j E v U 1 V N M j A w M y 9 D a G F u Z 2 V k I F R 5 c G U u e 1 B y b 3 B v c 2 V k I E Z l Z S w x M n 0 m c X V v d D s s J n F 1 b 3 Q 7 U 2 V j d G l v b j E v U 1 V N M j A w M y 9 D a G F u Z 2 V k I F R 5 c G U u e 0 N v b H V t b j E 0 L D E z f S Z x d W 9 0 O y w m c X V v d D t T Z W N 0 a W 9 u M S 9 T V U 0 y M D A z L 0 N o Y W 5 n Z W Q g V H l w Z S 5 7 Q 2 9 s d W 1 u M T U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V U 0 y M D A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M v U 1 V N M j A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M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M j A w M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M C I g L z 4 8 R W 5 0 c n k g V H l w Z T 0 i R m l s b E V y c m 9 y Q 2 9 k Z S I g V m F s d W U 9 I n N V b m t u b 3 d u I i A v P j x F b n R y e S B U e X B l P S J G a W x s R X J y b 3 J D b 3 V u d C I g V m F s d W U 9 I m w y I i A v P j x F b n R y e S B U e X B l P S J G a W x s T G F z d F V w Z G F 0 Z W Q i I F Z h b H V l P S J k M j A y M S 0 w N C 0 y M F Q x N j o 1 M z o 0 M S 4 x N T Q 5 N z Y w W i I g L z 4 8 R W 5 0 c n k g V H l w Z T 0 i R m l s b E N v b H V t b l R 5 c G V z I i B W Y W x 1 Z T 0 i c 0 J n W U R C U V V G Q l F V R 0 J R V U Z C U U F B Q U E 9 P S I g L z 4 8 R W 5 0 c n k g V H l w Z T 0 i R m l s b E N v b H V t b k 5 h b W V z I i B W Y W x 1 Z T 0 i c 1 s m c X V v d D t D b 2 1 w Y W 5 5 J n F 1 b 3 Q 7 L C Z x d W 9 0 O y A g T W l u Z S A m c X V v d D s s J n F 1 b 3 Q 7 U H J v Z H V j d G l v b i A o U 2 h v c n Q g V G 9 u c y k m c X V v d D s s J n F 1 b 3 Q 7 R G l z d H V y Y m V k I E F j c m V z J n F 1 b 3 Q 7 L C Z x d W 9 0 O 0 F j c m V z I E 1 p b m V k I F B y a W 9 y I H R v I D g v M z E v M D Q m c X V v d D s s J n F 1 b 3 Q 7 Q W N y Z X M g T W l u Z W Q g Q W Z 0 Z X I g O C 8 z M S 8 w N C Z x d W 9 0 O y w m c X V v d D t U b 3 R h b C B B Y 3 J l c y B N a W 5 l Z C Z x d W 9 0 O y w m c X V v d D t U b 2 5 z L 0 F j c m U m c X V v d D s s J n F 1 b 3 Q 7 I C Z x d W 9 0 O y w m c X V v d D t U b 3 R h b C B G Z W U g Q 2 9 s b G V j d G V k I C Z x d W 9 0 O y w m c X V v d D t E a X N 0 L i B B Y y Z x d W 9 0 O y w m c X V v d D t E a X N 0 L i B B Y 1 8 x J n F 1 b 3 Q 7 L C Z x d W 9 0 O 0 R p c 3 Q u I E F j X z I m c X V v d D s s J n F 1 b 3 Q 7 U H J v c G 9 z Z W Q g R m V l J n F 1 b 3 Q 7 L C Z x d W 9 0 O 0 N v b H V t b j E 1 J n F 1 b 3 Q 7 L C Z x d W 9 0 O 0 N v b H V t b j E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T T I w M D Q v Q 2 h h b m d l Z C B U e X B l L n t D b 2 1 w Y W 5 5 L D B 9 J n F 1 b 3 Q 7 L C Z x d W 9 0 O 1 N l Y 3 R p b 2 4 x L 1 N V T T I w M D Q v Q 2 h h b m d l Z C B U e X B l L n s g I E 1 p b m U g L D F 9 J n F 1 b 3 Q 7 L C Z x d W 9 0 O 1 N l Y 3 R p b 2 4 x L 1 N V T T I w M D Q v Q 2 h h b m d l Z C B U e X B l L n t Q c m 9 k d W N 0 a W 9 u I C h T a G 9 y d C B U b 2 5 z K S w y f S Z x d W 9 0 O y w m c X V v d D t T Z W N 0 a W 9 u M S 9 T V U 0 y M D A 0 L 0 N o Y W 5 n Z W Q g V H l w Z S 5 7 R G l z d H V y Y m V k I E F j c m V z L D N 9 J n F 1 b 3 Q 7 L C Z x d W 9 0 O 1 N l Y 3 R p b 2 4 x L 1 N V T T I w M D Q v Q 2 h h b m d l Z C B U e X B l L n t B Y 3 J l c y B N a W 5 l Z C B Q c m l v c i B 0 b y A 4 L z M x L z A 0 L D R 9 J n F 1 b 3 Q 7 L C Z x d W 9 0 O 1 N l Y 3 R p b 2 4 x L 1 N V T T I w M D Q v Q 2 h h b m d l Z C B U e X B l L n t B Y 3 J l c y B N a W 5 l Z C B B Z n R l c i A 4 L z M x L z A 0 L D V 9 J n F 1 b 3 Q 7 L C Z x d W 9 0 O 1 N l Y 3 R p b 2 4 x L 1 N V T T I w M D Q v Q 2 h h b m d l Z C B U e X B l L n t U b 3 R h b C B B Y 3 J l c y B N a W 5 l Z C w 2 f S Z x d W 9 0 O y w m c X V v d D t T Z W N 0 a W 9 u M S 9 T V U 0 y M D A 0 L 0 N o Y W 5 n Z W Q g V H l w Z S 5 7 V G 9 u c y 9 B Y 3 J l L D d 9 J n F 1 b 3 Q 7 L C Z x d W 9 0 O 1 N l Y 3 R p b 2 4 x L 1 N V T T I w M D Q v Q 2 h h b m d l Z C B U e X B l L n s g L D h 9 J n F 1 b 3 Q 7 L C Z x d W 9 0 O 1 N l Y 3 R p b 2 4 x L 1 N V T T I w M D Q v Q 2 h h b m d l Z C B U e X B l L n t U b 3 R h b C B G Z W U g Q 2 9 s b G V j d G V k I C w 5 f S Z x d W 9 0 O y w m c X V v d D t T Z W N 0 a W 9 u M S 9 T V U 0 y M D A 0 L 0 N o Y W 5 n Z W Q g V H l w Z S 5 7 R G l z d C 4 g Q W M s M T B 9 J n F 1 b 3 Q 7 L C Z x d W 9 0 O 1 N l Y 3 R p b 2 4 x L 1 N V T T I w M D Q v Q 2 h h b m d l Z C B U e X B l L n t E a X N 0 L i B B Y 1 8 x L D E x f S Z x d W 9 0 O y w m c X V v d D t T Z W N 0 a W 9 u M S 9 T V U 0 y M D A 0 L 0 N o Y W 5 n Z W Q g V H l w Z S 5 7 R G l z d C 4 g Q W N f M i w x M n 0 m c X V v d D s s J n F 1 b 3 Q 7 U 2 V j d G l v b j E v U 1 V N M j A w N C 9 D a G F u Z 2 V k I F R 5 c G U u e 1 B y b 3 B v c 2 V k I E Z l Z S w x M 3 0 m c X V v d D s s J n F 1 b 3 Q 7 U 2 V j d G l v b j E v U 1 V N M j A w N C 9 D a G F u Z 2 V k I F R 5 c G U u e 0 N v b H V t b j E 1 L D E 0 f S Z x d W 9 0 O y w m c X V v d D t T Z W N 0 a W 9 u M S 9 T V U 0 y M D A 0 L 0 N o Y W 5 n Z W Q g V H l w Z S 5 7 Q 2 9 s d W 1 u M T Y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T V U 0 y M D A 0 L 0 N o Y W 5 n Z W Q g V H l w Z S 5 7 Q 2 9 t c G F u e S w w f S Z x d W 9 0 O y w m c X V v d D t T Z W N 0 a W 9 u M S 9 T V U 0 y M D A 0 L 0 N o Y W 5 n Z W Q g V H l w Z S 5 7 I C B N a W 5 l I C w x f S Z x d W 9 0 O y w m c X V v d D t T Z W N 0 a W 9 u M S 9 T V U 0 y M D A 0 L 0 N o Y W 5 n Z W Q g V H l w Z S 5 7 U H J v Z H V j d G l v b i A o U 2 h v c n Q g V G 9 u c y k s M n 0 m c X V v d D s s J n F 1 b 3 Q 7 U 2 V j d G l v b j E v U 1 V N M j A w N C 9 D a G F u Z 2 V k I F R 5 c G U u e 0 R p c 3 R 1 c m J l Z C B B Y 3 J l c y w z f S Z x d W 9 0 O y w m c X V v d D t T Z W N 0 a W 9 u M S 9 T V U 0 y M D A 0 L 0 N o Y W 5 n Z W Q g V H l w Z S 5 7 Q W N y Z X M g T W l u Z W Q g U H J p b 3 I g d G 8 g O C 8 z M S 8 w N C w 0 f S Z x d W 9 0 O y w m c X V v d D t T Z W N 0 a W 9 u M S 9 T V U 0 y M D A 0 L 0 N o Y W 5 n Z W Q g V H l w Z S 5 7 Q W N y Z X M g T W l u Z W Q g Q W Z 0 Z X I g O C 8 z M S 8 w N C w 1 f S Z x d W 9 0 O y w m c X V v d D t T Z W N 0 a W 9 u M S 9 T V U 0 y M D A 0 L 0 N o Y W 5 n Z W Q g V H l w Z S 5 7 V G 9 0 Y W w g Q W N y Z X M g T W l u Z W Q s N n 0 m c X V v d D s s J n F 1 b 3 Q 7 U 2 V j d G l v b j E v U 1 V N M j A w N C 9 D a G F u Z 2 V k I F R 5 c G U u e 1 R v b n M v Q W N y Z S w 3 f S Z x d W 9 0 O y w m c X V v d D t T Z W N 0 a W 9 u M S 9 T V U 0 y M D A 0 L 0 N o Y W 5 n Z W Q g V H l w Z S 5 7 I C w 4 f S Z x d W 9 0 O y w m c X V v d D t T Z W N 0 a W 9 u M S 9 T V U 0 y M D A 0 L 0 N o Y W 5 n Z W Q g V H l w Z S 5 7 V G 9 0 Y W w g R m V l I E N v b G x l Y 3 R l Z C A s O X 0 m c X V v d D s s J n F 1 b 3 Q 7 U 2 V j d G l v b j E v U 1 V N M j A w N C 9 D a G F u Z 2 V k I F R 5 c G U u e 0 R p c 3 Q u I E F j L D E w f S Z x d W 9 0 O y w m c X V v d D t T Z W N 0 a W 9 u M S 9 T V U 0 y M D A 0 L 0 N o Y W 5 n Z W Q g V H l w Z S 5 7 R G l z d C 4 g Q W N f M S w x M X 0 m c X V v d D s s J n F 1 b 3 Q 7 U 2 V j d G l v b j E v U 1 V N M j A w N C 9 D a G F u Z 2 V k I F R 5 c G U u e 0 R p c 3 Q u I E F j X z I s M T J 9 J n F 1 b 3 Q 7 L C Z x d W 9 0 O 1 N l Y 3 R p b 2 4 x L 1 N V T T I w M D Q v Q 2 h h b m d l Z C B U e X B l L n t Q c m 9 w b 3 N l Z C B G Z W U s M T N 9 J n F 1 b 3 Q 7 L C Z x d W 9 0 O 1 N l Y 3 R p b 2 4 x L 1 N V T T I w M D Q v Q 2 h h b m d l Z C B U e X B l L n t D b 2 x 1 b W 4 x N S w x N H 0 m c X V v d D s s J n F 1 b 3 Q 7 U 2 V j d G l v b j E v U 1 V N M j A w N C 9 D a G F u Z 2 V k I F R 5 c G U u e 0 N v b H V t b j E 2 L D E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1 V N M j A w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0 L 1 N V T T I w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0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A i I C 8 + P E V u d H J 5 I F R 5 c G U 9 I k Z p b G x F c n J v c k N v Z G U i I F Z h b H V l P S J z V W 5 r b m 9 3 b i I g L z 4 8 R W 5 0 c n k g V H l w Z T 0 i R m l s b E V y c m 9 y Q 2 9 1 b n Q i I F Z h b H V l P S J s M i I g L z 4 8 R W 5 0 c n k g V H l w Z T 0 i R m l s b E x h c 3 R V c G R h d G V k I i B W Y W x 1 Z T 0 i Z D I w M j E t M D Q t M j B U M T Y 6 N T M 6 N D E u M T c w N T g 1 N F o i I C 8 + P E V u d H J 5 I F R 5 c G U 9 I k Z p b G x D b 2 x 1 b W 5 U e X B l c y I g V m F s d W U 9 I n N C Z 1 l E Q l F V R k J n V U Z C U V V B Q U F B P S I g L z 4 8 R W 5 0 c n k g V H l w Z T 0 i R m l s b E N v b H V t b k 5 h b W V z I i B W Y W x 1 Z T 0 i c 1 s m c X V v d D t D b 2 1 w Y W 5 5 J n F 1 b 3 Q 7 L C Z x d W 9 0 O y A g T W l u Z S A m c X V v d D s s J n F 1 b 3 Q 7 U H J v Z H V j d G l v b i A o U 2 h v c n Q g V G 9 u c y k m c X V v d D s s J n F 1 b 3 Q 7 Q W N y Z X M g R G l z d H V y Y m V k J n F 1 b 3 Q 7 L C Z x d W 9 0 O 0 F j c m V z I E 1 p b m V k J n F 1 b 3 Q 7 L C Z x d W 9 0 O 1 R v b n M v Q W N y Z S Z x d W 9 0 O y w m c X V v d D s g J n F 1 b 3 Q 7 L C Z x d W 9 0 O 1 R v d G F s I E Z l Z S B D b 2 x s Z W N 0 Z W Q g J n F 1 b 3 Q 7 L C Z x d W 9 0 O 0 R p c 3 Q u I E F j J n F 1 b 3 Q 7 L C Z x d W 9 0 O 0 R p c 3 Q u I E F j X z E m c X V v d D s s J n F 1 b 3 Q 7 R G l z d C 4 g Q W N f M i Z x d W 9 0 O y w m c X V v d D t Q c m 9 w b 3 N l Z C B G Z W U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1 V N M j A w N S 9 D a G F u Z 2 V k I F R 5 c G U u e 0 N v b X B h b n k s M H 0 m c X V v d D s s J n F 1 b 3 Q 7 U 2 V j d G l v b j E v U 1 V N M j A w N S 9 D a G F u Z 2 V k I F R 5 c G U u e y A g T W l u Z S A s M X 0 m c X V v d D s s J n F 1 b 3 Q 7 U 2 V j d G l v b j E v U 1 V N M j A w N S 9 D a G F u Z 2 V k I F R 5 c G U u e 1 B y b 2 R 1 Y 3 R p b 2 4 g K F N o b 3 J 0 I F R v b n M p L D J 9 J n F 1 b 3 Q 7 L C Z x d W 9 0 O 1 N l Y 3 R p b 2 4 x L 1 N V T T I w M D U v Q 2 h h b m d l Z C B U e X B l L n t B Y 3 J l c y B E a X N 0 d X J i Z W Q s M 3 0 m c X V v d D s s J n F 1 b 3 Q 7 U 2 V j d G l v b j E v U 1 V N M j A w N S 9 D a G F u Z 2 V k I F R 5 c G U u e 0 F j c m V z I E 1 p b m V k L D R 9 J n F 1 b 3 Q 7 L C Z x d W 9 0 O 1 N l Y 3 R p b 2 4 x L 1 N V T T I w M D U v Q 2 h h b m d l Z C B U e X B l L n t U b 2 5 z L 0 F j c m U s N X 0 m c X V v d D s s J n F 1 b 3 Q 7 U 2 V j d G l v b j E v U 1 V N M j A w N S 9 D a G F u Z 2 V k I F R 5 c G U u e y A s N n 0 m c X V v d D s s J n F 1 b 3 Q 7 U 2 V j d G l v b j E v U 1 V N M j A w N S 9 D a G F u Z 2 V k I F R 5 c G U u e 1 R v d G F s I E Z l Z S B D b 2 x s Z W N 0 Z W Q g L D d 9 J n F 1 b 3 Q 7 L C Z x d W 9 0 O 1 N l Y 3 R p b 2 4 x L 1 N V T T I w M D U v Q 2 h h b m d l Z C B U e X B l L n t E a X N 0 L i B B Y y w 4 f S Z x d W 9 0 O y w m c X V v d D t T Z W N 0 a W 9 u M S 9 T V U 0 y M D A 1 L 0 N o Y W 5 n Z W Q g V H l w Z S 5 7 R G l z d C 4 g Q W N f M S w 5 f S Z x d W 9 0 O y w m c X V v d D t T Z W N 0 a W 9 u M S 9 T V U 0 y M D A 1 L 0 N o Y W 5 n Z W Q g V H l w Z S 5 7 R G l z d C 4 g Q W N f M i w x M H 0 m c X V v d D s s J n F 1 b 3 Q 7 U 2 V j d G l v b j E v U 1 V N M j A w N S 9 D a G F u Z 2 V k I F R 5 c G U u e 1 B y b 3 B v c 2 V k I E Z l Z S w x M X 0 m c X V v d D s s J n F 1 b 3 Q 7 U 2 V j d G l v b j E v U 1 V N M j A w N S 9 D a G F u Z 2 V k I F R 5 c G U u e 0 N v b H V t b j E z L D E y f S Z x d W 9 0 O y w m c X V v d D t T Z W N 0 a W 9 u M S 9 T V U 0 y M D A 1 L 0 N o Y W 5 n Z W Q g V H l w Z S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T V U 0 y M D A 1 L 0 N o Y W 5 n Z W Q g V H l w Z S 5 7 Q 2 9 t c G F u e S w w f S Z x d W 9 0 O y w m c X V v d D t T Z W N 0 a W 9 u M S 9 T V U 0 y M D A 1 L 0 N o Y W 5 n Z W Q g V H l w Z S 5 7 I C B N a W 5 l I C w x f S Z x d W 9 0 O y w m c X V v d D t T Z W N 0 a W 9 u M S 9 T V U 0 y M D A 1 L 0 N o Y W 5 n Z W Q g V H l w Z S 5 7 U H J v Z H V j d G l v b i A o U 2 h v c n Q g V G 9 u c y k s M n 0 m c X V v d D s s J n F 1 b 3 Q 7 U 2 V j d G l v b j E v U 1 V N M j A w N S 9 D a G F u Z 2 V k I F R 5 c G U u e 0 F j c m V z I E R p c 3 R 1 c m J l Z C w z f S Z x d W 9 0 O y w m c X V v d D t T Z W N 0 a W 9 u M S 9 T V U 0 y M D A 1 L 0 N o Y W 5 n Z W Q g V H l w Z S 5 7 Q W N y Z X M g T W l u Z W Q s N H 0 m c X V v d D s s J n F 1 b 3 Q 7 U 2 V j d G l v b j E v U 1 V N M j A w N S 9 D a G F u Z 2 V k I F R 5 c G U u e 1 R v b n M v Q W N y Z S w 1 f S Z x d W 9 0 O y w m c X V v d D t T Z W N 0 a W 9 u M S 9 T V U 0 y M D A 1 L 0 N o Y W 5 n Z W Q g V H l w Z S 5 7 I C w 2 f S Z x d W 9 0 O y w m c X V v d D t T Z W N 0 a W 9 u M S 9 T V U 0 y M D A 1 L 0 N o Y W 5 n Z W Q g V H l w Z S 5 7 V G 9 0 Y W w g R m V l I E N v b G x l Y 3 R l Z C A s N 3 0 m c X V v d D s s J n F 1 b 3 Q 7 U 2 V j d G l v b j E v U 1 V N M j A w N S 9 D a G F u Z 2 V k I F R 5 c G U u e 0 R p c 3 Q u I E F j L D h 9 J n F 1 b 3 Q 7 L C Z x d W 9 0 O 1 N l Y 3 R p b 2 4 x L 1 N V T T I w M D U v Q 2 h h b m d l Z C B U e X B l L n t E a X N 0 L i B B Y 1 8 x L D l 9 J n F 1 b 3 Q 7 L C Z x d W 9 0 O 1 N l Y 3 R p b 2 4 x L 1 N V T T I w M D U v Q 2 h h b m d l Z C B U e X B l L n t E a X N 0 L i B B Y 1 8 y L D E w f S Z x d W 9 0 O y w m c X V v d D t T Z W N 0 a W 9 u M S 9 T V U 0 y M D A 1 L 0 N o Y W 5 n Z W Q g V H l w Z S 5 7 U H J v c G 9 z Z W Q g R m V l L D E x f S Z x d W 9 0 O y w m c X V v d D t T Z W N 0 a W 9 u M S 9 T V U 0 y M D A 1 L 0 N o Y W 5 n Z W Q g V H l w Z S 5 7 Q 2 9 s d W 1 u M T M s M T J 9 J n F 1 b 3 Q 7 L C Z x d W 9 0 O 1 N l Y 3 R p b 2 4 x L 1 N V T T I w M D U v Q 2 h h b m d l Z C B U e X B l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V T T I w M D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M j A w N S 9 T V U 0 y M D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M j A w N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1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M j A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4 I i A v P j x F b n R y e S B U e X B l P S J G a W x s R X J y b 3 J D b 2 R l I i B W Y W x 1 Z T 0 i c 1 V u a 2 5 v d 2 4 i I C 8 + P E V u d H J 5 I F R 5 c G U 9 I k Z p b G x F c n J v c k N v d W 5 0 I i B W Y W x 1 Z T 0 i b D I i I C 8 + P E V u d H J 5 I F R 5 c G U 9 I k Z p b G x M Y X N 0 V X B k Y X R l Z C I g V m F s d W U 9 I m Q y M D I x L T A 0 L T I w V D E 2 O j U z O j Q x L j E 4 N j I w N j J a I i A v P j x F b n R y e S B U e X B l P S J G a W x s Q 2 9 s d W 1 u V H l w Z X M i I F Z h b H V l P S J z Q U F Z R E J R V U Z C U V l G Q l F V R k F B Q U d B Q U E 9 I i A v P j x F b n R y e S B U e X B l P S J G a W x s Q 2 9 s d W 1 u T m F t Z X M i I F Z h b H V l P S J z W y Z x d W 9 0 O 0 N v b X B h b n k m c X V v d D s s J n F 1 b 3 Q 7 I C B N a W 5 l I C Z x d W 9 0 O y w m c X V v d D t Q c m 9 k d W N 0 a W 9 u I C h T a G 9 y d C B U b 2 5 z K S Z x d W 9 0 O y w m c X V v d D t B Y 3 J l c y B C b 2 5 k Z W Q m c X V v d D s s J n F 1 b 3 Q 7 Q W N y Z X M g R G l z d H V y Y m V k J n F 1 b 3 Q 7 L C Z x d W 9 0 O 0 F j c m V z I E 1 p b m V k J n F 1 b 3 Q 7 L C Z x d W 9 0 O 1 R v b n M v Q W N y Z S Z x d W 9 0 O y w m c X V v d D s g J n F 1 b 3 Q 7 L C Z x d W 9 0 O 1 R v d G F s I E Z l Z S B D b 2 x s Z W N 0 Z W Q g J n F 1 b 3 Q 7 L C Z x d W 9 0 O 0 R p c 3 Q u I E F j J n F 1 b 3 Q 7 L C Z x d W 9 0 O 0 R p c 3 Q u I E F j X z E m c X V v d D s s J n F 1 b 3 Q 7 R G l z d C 4 g Q W N f M i Z x d W 9 0 O y w m c X V v d D t Q c m 9 w b 3 N l Z C B G Z W U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1 V N M j A w N i 9 D a G F u Z 2 V k I F R 5 c G U u e 0 N v b X B h b n k s M H 0 m c X V v d D s s J n F 1 b 3 Q 7 U 2 V j d G l v b j E v U 1 V N M j A w N i 9 D a G F u Z 2 V k I F R 5 c G U u e y A g T W l u Z S A s M X 0 m c X V v d D s s J n F 1 b 3 Q 7 U 2 V j d G l v b j E v U 1 V N M j A w N i 9 D a G F u Z 2 V k I F R 5 c G U u e 1 B y b 2 R 1 Y 3 R p b 2 4 g K F N o b 3 J 0 I F R v b n M p L D J 9 J n F 1 b 3 Q 7 L C Z x d W 9 0 O 1 N l Y 3 R p b 2 4 x L 1 N V T T I w M D Y v Q 2 h h b m d l Z C B U e X B l L n t B Y 3 J l c y B C b 2 5 k Z W Q s M 3 0 m c X V v d D s s J n F 1 b 3 Q 7 U 2 V j d G l v b j E v U 1 V N M j A w N i 9 D a G F u Z 2 V k I F R 5 c G U u e 0 F j c m V z I E R p c 3 R 1 c m J l Z C w 0 f S Z x d W 9 0 O y w m c X V v d D t T Z W N 0 a W 9 u M S 9 T V U 0 y M D A 2 L 0 N o Y W 5 n Z W Q g V H l w Z S 5 7 Q W N y Z X M g T W l u Z W Q s N X 0 m c X V v d D s s J n F 1 b 3 Q 7 U 2 V j d G l v b j E v U 1 V N M j A w N i 9 D a G F u Z 2 V k I F R 5 c G U u e 1 R v b n M v Q W N y Z S w 2 f S Z x d W 9 0 O y w m c X V v d D t T Z W N 0 a W 9 u M S 9 T V U 0 y M D A 2 L 0 N o Y W 5 n Z W Q g V H l w Z S 5 7 I C w 3 f S Z x d W 9 0 O y w m c X V v d D t T Z W N 0 a W 9 u M S 9 T V U 0 y M D A 2 L 0 N o Y W 5 n Z W Q g V H l w Z S 5 7 V G 9 0 Y W w g R m V l I E N v b G x l Y 3 R l Z C A s O H 0 m c X V v d D s s J n F 1 b 3 Q 7 U 2 V j d G l v b j E v U 1 V N M j A w N i 9 D a G F u Z 2 V k I F R 5 c G U u e 0 R p c 3 Q u I E F j L D l 9 J n F 1 b 3 Q 7 L C Z x d W 9 0 O 1 N l Y 3 R p b 2 4 x L 1 N V T T I w M D Y v Q 2 h h b m d l Z C B U e X B l L n t E a X N 0 L i B B Y 1 8 x L D E w f S Z x d W 9 0 O y w m c X V v d D t T Z W N 0 a W 9 u M S 9 T V U 0 y M D A 2 L 0 N o Y W 5 n Z W Q g V H l w Z S 5 7 R G l z d C 4 g Q W N f M i w x M X 0 m c X V v d D s s J n F 1 b 3 Q 7 U 2 V j d G l v b j E v U 1 V N M j A w N i 9 D a G F u Z 2 V k I F R 5 c G U u e 1 B y b 3 B v c 2 V k I E Z l Z S w x M n 0 m c X V v d D s s J n F 1 b 3 Q 7 U 2 V j d G l v b j E v U 1 V N M j A w N i 9 D a G F u Z 2 V k I F R 5 c G U u e 0 N v b H V t b j E 0 L D E z f S Z x d W 9 0 O y w m c X V v d D t T Z W N 0 a W 9 u M S 9 T V U 0 y M D A 2 L 0 N o Y W 5 n Z W Q g V H l w Z S 5 7 Q 2 9 s d W 1 u M T U s M T R 9 J n F 1 b 3 Q 7 L C Z x d W 9 0 O 1 N l Y 3 R p b 2 4 x L 1 N V T T I w M D Y v Q 2 h h b m d l Z C B U e X B l L n t D b 2 x 1 b W 4 x N i w x N X 0 m c X V v d D s s J n F 1 b 3 Q 7 U 2 V j d G l v b j E v U 1 V N M j A w N i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U 1 V N M j A w N i 9 D a G F u Z 2 V k I F R 5 c G U u e 0 N v b X B h b n k s M H 0 m c X V v d D s s J n F 1 b 3 Q 7 U 2 V j d G l v b j E v U 1 V N M j A w N i 9 D a G F u Z 2 V k I F R 5 c G U u e y A g T W l u Z S A s M X 0 m c X V v d D s s J n F 1 b 3 Q 7 U 2 V j d G l v b j E v U 1 V N M j A w N i 9 D a G F u Z 2 V k I F R 5 c G U u e 1 B y b 2 R 1 Y 3 R p b 2 4 g K F N o b 3 J 0 I F R v b n M p L D J 9 J n F 1 b 3 Q 7 L C Z x d W 9 0 O 1 N l Y 3 R p b 2 4 x L 1 N V T T I w M D Y v Q 2 h h b m d l Z C B U e X B l L n t B Y 3 J l c y B C b 2 5 k Z W Q s M 3 0 m c X V v d D s s J n F 1 b 3 Q 7 U 2 V j d G l v b j E v U 1 V N M j A w N i 9 D a G F u Z 2 V k I F R 5 c G U u e 0 F j c m V z I E R p c 3 R 1 c m J l Z C w 0 f S Z x d W 9 0 O y w m c X V v d D t T Z W N 0 a W 9 u M S 9 T V U 0 y M D A 2 L 0 N o Y W 5 n Z W Q g V H l w Z S 5 7 Q W N y Z X M g T W l u Z W Q s N X 0 m c X V v d D s s J n F 1 b 3 Q 7 U 2 V j d G l v b j E v U 1 V N M j A w N i 9 D a G F u Z 2 V k I F R 5 c G U u e 1 R v b n M v Q W N y Z S w 2 f S Z x d W 9 0 O y w m c X V v d D t T Z W N 0 a W 9 u M S 9 T V U 0 y M D A 2 L 0 N o Y W 5 n Z W Q g V H l w Z S 5 7 I C w 3 f S Z x d W 9 0 O y w m c X V v d D t T Z W N 0 a W 9 u M S 9 T V U 0 y M D A 2 L 0 N o Y W 5 n Z W Q g V H l w Z S 5 7 V G 9 0 Y W w g R m V l I E N v b G x l Y 3 R l Z C A s O H 0 m c X V v d D s s J n F 1 b 3 Q 7 U 2 V j d G l v b j E v U 1 V N M j A w N i 9 D a G F u Z 2 V k I F R 5 c G U u e 0 R p c 3 Q u I E F j L D l 9 J n F 1 b 3 Q 7 L C Z x d W 9 0 O 1 N l Y 3 R p b 2 4 x L 1 N V T T I w M D Y v Q 2 h h b m d l Z C B U e X B l L n t E a X N 0 L i B B Y 1 8 x L D E w f S Z x d W 9 0 O y w m c X V v d D t T Z W N 0 a W 9 u M S 9 T V U 0 y M D A 2 L 0 N o Y W 5 n Z W Q g V H l w Z S 5 7 R G l z d C 4 g Q W N f M i w x M X 0 m c X V v d D s s J n F 1 b 3 Q 7 U 2 V j d G l v b j E v U 1 V N M j A w N i 9 D a G F u Z 2 V k I F R 5 c G U u e 1 B y b 3 B v c 2 V k I E Z l Z S w x M n 0 m c X V v d D s s J n F 1 b 3 Q 7 U 2 V j d G l v b j E v U 1 V N M j A w N i 9 D a G F u Z 2 V k I F R 5 c G U u e 0 N v b H V t b j E 0 L D E z f S Z x d W 9 0 O y w m c X V v d D t T Z W N 0 a W 9 u M S 9 T V U 0 y M D A 2 L 0 N o Y W 5 n Z W Q g V H l w Z S 5 7 Q 2 9 s d W 1 u M T U s M T R 9 J n F 1 b 3 Q 7 L C Z x d W 9 0 O 1 N l Y 3 R p b 2 4 x L 1 N V T T I w M D Y v Q 2 h h b m d l Z C B U e X B l L n t D b 2 x 1 b W 4 x N i w x N X 0 m c X V v d D s s J n F 1 b 3 Q 7 U 2 V j d G l v b j E v U 1 V N M j A w N i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1 V N M j A w N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2 L 1 N V T T I w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2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Y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Q t M j B U M T Y 6 N T M 6 N D E u M j A x O D Q x N F o i I C 8 + P E V u d H J 5 I F R 5 c G U 9 I k Z p b G x D b 2 x 1 b W 5 U e X B l c y I g V m F s d W U 9 I n N B Q U F H Q X d V R k J R V U d C U U F B Q X d N R k J R V U Y i I C 8 + P E V u d H J 5 I F R 5 c G U 9 I k Z p b G x D b 2 x 1 b W 5 O Y W 1 l c y I g V m F s d W U 9 I n N b J n F 1 b 3 Q 7 Q 2 9 t c G F u e S Z x d W 9 0 O y w m c X V v d D t D b 2 x 1 b W 4 y J n F 1 b 3 Q 7 L C Z x d W 9 0 O y A g T W l u Z S A m c X V v d D s s J n F 1 b 3 Q 7 M j A w N y B Q c m 9 k d W N 0 a W 9 u I C h T a G 9 y d C B U b 2 5 z K S Z x d W 9 0 O y w m c X V v d D t B Y 3 J l c y B C b 2 5 k Z W Q m c X V v d D s s J n F 1 b 3 Q 7 Q W N y Z X M g R G l z d H V y Y m V k J n F 1 b 3 Q 7 L C Z x d W 9 0 O 0 F j c m V z I E 1 p b m V k J n F 1 b 3 Q 7 L C Z x d W 9 0 O 1 N o b 3 J 0 I F R v b n M v I C A g I C A g I C A g I C A g I E F j c m U g T W l u Z W Q m c X V v d D s s J n F 1 b 3 Q 7 I C Z x d W 9 0 O y w m c X V v d D t U b 3 R h b C B G Z W U g Q 2 9 s b G V j d G V k I C Z x d W 9 0 O y w m c X V v d D s g X z E m c X V v d D s s J n F 1 b 3 Q 7 Q 2 9 s d W 1 u M T I m c X V v d D s s J n F 1 b 3 Q 7 M j A w N i B Q c m 9 k d W N 0 a W 9 u I C h T a G 9 y d C B U b 2 5 z K S Z x d W 9 0 O y w m c X V v d D t E a W Z m Z X J l b m N l J n F 1 b 3 Q 7 L C Z x d W 9 0 O 0 N v b H V t b j E 1 J n F 1 b 3 Q 7 L C Z x d W 9 0 O z I w M D c g Q W N y Z X M g T W l u Z W Q m c X V v d D s s J n F 1 b 3 Q 7 R G l m Z m V y Z W 5 j Z V 8 y J n F 1 b 3 Q 7 L C Z x d W 9 0 O 0 N v b H V t b j E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T T I w M D c v Q 2 h h b m d l Z C B U e X B l L n t D b 2 1 w Y W 5 5 L D B 9 J n F 1 b 3 Q 7 L C Z x d W 9 0 O 1 N l Y 3 R p b 2 4 x L 1 N V T T I w M D c v Q 2 h h b m d l Z C B U e X B l L n t D b 2 x 1 b W 4 y L D F 9 J n F 1 b 3 Q 7 L C Z x d W 9 0 O 1 N l Y 3 R p b 2 4 x L 1 N V T T I w M D c v Q 2 h h b m d l Z C B U e X B l L n s g I E 1 p b m U g L D J 9 J n F 1 b 3 Q 7 L C Z x d W 9 0 O 1 N l Y 3 R p b 2 4 x L 1 N V T T I w M D c v Q 2 h h b m d l Z C B U e X B l L n s y M D A 3 I F B y b 2 R 1 Y 3 R p b 2 4 g K F N o b 3 J 0 I F R v b n M p L D N 9 J n F 1 b 3 Q 7 L C Z x d W 9 0 O 1 N l Y 3 R p b 2 4 x L 1 N V T T I w M D c v Q 2 h h b m d l Z C B U e X B l L n t B Y 3 J l c y B C b 2 5 k Z W Q s N H 0 m c X V v d D s s J n F 1 b 3 Q 7 U 2 V j d G l v b j E v U 1 V N M j A w N y 9 D a G F u Z 2 V k I F R 5 c G U u e 0 F j c m V z I E R p c 3 R 1 c m J l Z C w 1 f S Z x d W 9 0 O y w m c X V v d D t T Z W N 0 a W 9 u M S 9 T V U 0 y M D A 3 L 0 N o Y W 5 n Z W Q g V H l w Z S 5 7 Q W N y Z X M g T W l u Z W Q s N n 0 m c X V v d D s s J n F 1 b 3 Q 7 U 2 V j d G l v b j E v U 1 V N M j A w N y 9 D a G F u Z 2 V k I F R 5 c G U u e 1 N o b 3 J 0 I F R v b n M v I C A g I C A g I C A g I C A g I E F j c m U g T W l u Z W Q s N 3 0 m c X V v d D s s J n F 1 b 3 Q 7 U 2 V j d G l v b j E v U 1 V N M j A w N y 9 D a G F u Z 2 V k I F R 5 c G U u e y A s O H 0 m c X V v d D s s J n F 1 b 3 Q 7 U 2 V j d G l v b j E v U 1 V N M j A w N y 9 D a G F u Z 2 V k I F R 5 c G U u e 1 R v d G F s I E Z l Z S B D b 2 x s Z W N 0 Z W Q g L D l 9 J n F 1 b 3 Q 7 L C Z x d W 9 0 O 1 N l Y 3 R p b 2 4 x L 1 N V T T I w M D c v Q 2 h h b m d l Z C B U e X B l L n s g X z E s M T B 9 J n F 1 b 3 Q 7 L C Z x d W 9 0 O 1 N l Y 3 R p b 2 4 x L 1 N V T T I w M D c v Q 2 h h b m d l Z C B U e X B l L n t D b 2 x 1 b W 4 x M i w x M X 0 m c X V v d D s s J n F 1 b 3 Q 7 U 2 V j d G l v b j E v U 1 V N M j A w N y 9 D a G F u Z 2 V k I F R 5 c G U u e z I w M D Y g U H J v Z H V j d G l v b i A o U 2 h v c n Q g V G 9 u c y k s M T J 9 J n F 1 b 3 Q 7 L C Z x d W 9 0 O 1 N l Y 3 R p b 2 4 x L 1 N V T T I w M D c v Q 2 h h b m d l Z C B U e X B l L n t E a W Z m Z X J l b m N l L D E z f S Z x d W 9 0 O y w m c X V v d D t T Z W N 0 a W 9 u M S 9 T V U 0 y M D A 3 L 0 N o Y W 5 n Z W Q g V H l w Z S 5 7 Q 2 9 s d W 1 u M T U s M T R 9 J n F 1 b 3 Q 7 L C Z x d W 9 0 O 1 N l Y 3 R p b 2 4 x L 1 N V T T I w M D c v Q 2 h h b m d l Z C B U e X B l L n s y M D A 3 I E F j c m V z I E 1 p b m V k L D E 1 f S Z x d W 9 0 O y w m c X V v d D t T Z W N 0 a W 9 u M S 9 T V U 0 y M D A 3 L 0 N o Y W 5 n Z W Q g V H l w Z S 5 7 R G l m Z m V y Z W 5 j Z V 8 y L D E 2 f S Z x d W 9 0 O y w m c X V v d D t T Z W N 0 a W 9 u M S 9 T V U 0 y M D A 3 L 0 N o Y W 5 n Z W Q g V H l w Z S 5 7 Q 2 9 s d W 1 u M T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T V U 0 y M D A 3 L 0 N o Y W 5 n Z W Q g V H l w Z S 5 7 Q 2 9 t c G F u e S w w f S Z x d W 9 0 O y w m c X V v d D t T Z W N 0 a W 9 u M S 9 T V U 0 y M D A 3 L 0 N o Y W 5 n Z W Q g V H l w Z S 5 7 Q 2 9 s d W 1 u M i w x f S Z x d W 9 0 O y w m c X V v d D t T Z W N 0 a W 9 u M S 9 T V U 0 y M D A 3 L 0 N o Y W 5 n Z W Q g V H l w Z S 5 7 I C B N a W 5 l I C w y f S Z x d W 9 0 O y w m c X V v d D t T Z W N 0 a W 9 u M S 9 T V U 0 y M D A 3 L 0 N o Y W 5 n Z W Q g V H l w Z S 5 7 M j A w N y B Q c m 9 k d W N 0 a W 9 u I C h T a G 9 y d C B U b 2 5 z K S w z f S Z x d W 9 0 O y w m c X V v d D t T Z W N 0 a W 9 u M S 9 T V U 0 y M D A 3 L 0 N o Y W 5 n Z W Q g V H l w Z S 5 7 Q W N y Z X M g Q m 9 u Z G V k L D R 9 J n F 1 b 3 Q 7 L C Z x d W 9 0 O 1 N l Y 3 R p b 2 4 x L 1 N V T T I w M D c v Q 2 h h b m d l Z C B U e X B l L n t B Y 3 J l c y B E a X N 0 d X J i Z W Q s N X 0 m c X V v d D s s J n F 1 b 3 Q 7 U 2 V j d G l v b j E v U 1 V N M j A w N y 9 D a G F u Z 2 V k I F R 5 c G U u e 0 F j c m V z I E 1 p b m V k L D Z 9 J n F 1 b 3 Q 7 L C Z x d W 9 0 O 1 N l Y 3 R p b 2 4 x L 1 N V T T I w M D c v Q 2 h h b m d l Z C B U e X B l L n t T a G 9 y d C B U b 2 5 z L y A g I C A g I C A g I C A g I C B B Y 3 J l I E 1 p b m V k L D d 9 J n F 1 b 3 Q 7 L C Z x d W 9 0 O 1 N l Y 3 R p b 2 4 x L 1 N V T T I w M D c v Q 2 h h b m d l Z C B U e X B l L n s g L D h 9 J n F 1 b 3 Q 7 L C Z x d W 9 0 O 1 N l Y 3 R p b 2 4 x L 1 N V T T I w M D c v Q 2 h h b m d l Z C B U e X B l L n t U b 3 R h b C B G Z W U g Q 2 9 s b G V j d G V k I C w 5 f S Z x d W 9 0 O y w m c X V v d D t T Z W N 0 a W 9 u M S 9 T V U 0 y M D A 3 L 0 N o Y W 5 n Z W Q g V H l w Z S 5 7 I F 8 x L D E w f S Z x d W 9 0 O y w m c X V v d D t T Z W N 0 a W 9 u M S 9 T V U 0 y M D A 3 L 0 N o Y W 5 n Z W Q g V H l w Z S 5 7 Q 2 9 s d W 1 u M T I s M T F 9 J n F 1 b 3 Q 7 L C Z x d W 9 0 O 1 N l Y 3 R p b 2 4 x L 1 N V T T I w M D c v Q 2 h h b m d l Z C B U e X B l L n s y M D A 2 I F B y b 2 R 1 Y 3 R p b 2 4 g K F N o b 3 J 0 I F R v b n M p L D E y f S Z x d W 9 0 O y w m c X V v d D t T Z W N 0 a W 9 u M S 9 T V U 0 y M D A 3 L 0 N o Y W 5 n Z W Q g V H l w Z S 5 7 R G l m Z m V y Z W 5 j Z S w x M 3 0 m c X V v d D s s J n F 1 b 3 Q 7 U 2 V j d G l v b j E v U 1 V N M j A w N y 9 D a G F u Z 2 V k I F R 5 c G U u e 0 N v b H V t b j E 1 L D E 0 f S Z x d W 9 0 O y w m c X V v d D t T Z W N 0 a W 9 u M S 9 T V U 0 y M D A 3 L 0 N o Y W 5 n Z W Q g V H l w Z S 5 7 M j A w N y B B Y 3 J l c y B N a W 5 l Z C w x N X 0 m c X V v d D s s J n F 1 b 3 Q 7 U 2 V j d G l v b j E v U 1 V N M j A w N y 9 D a G F u Z 2 V k I F R 5 c G U u e 0 R p Z m Z l c m V u Y 2 V f M i w x N n 0 m c X V v d D s s J n F 1 b 3 Q 7 U 2 V j d G l v b j E v U 1 V N M j A w N y 9 D a G F u Z 2 V k I F R 5 c G U u e 0 N v b H V t b j E 4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1 V N M j A w N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3 L 1 N V T T I w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3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Q t M j B U M T Y 6 N T M 6 N D E u M j I y N j k w O F o i I C 8 + P E V u d H J 5 I F R 5 c G U 9 I k Z p b G x D b 2 x 1 b W 5 U e X B l c y I g V m F s d W U 9 I n N B Q U F H Q X d V R k J R V U d C U U F B Q X d N R k J R T U Y i I C 8 + P E V u d H J 5 I F R 5 c G U 9 I k Z p b G x D b 2 x 1 b W 5 O Y W 1 l c y I g V m F s d W U 9 I n N b J n F 1 b 3 Q 7 Q 2 9 t c G F u e S Z x d W 9 0 O y w m c X V v d D t D b 2 x 1 b W 4 y J n F 1 b 3 Q 7 L C Z x d W 9 0 O y A g T W l u Z S A m c X V v d D s s J n F 1 b 3 Q 7 M j A w O C B Q c m 9 k d W N 0 a W 9 u I C h T a G 9 y d C B U b 2 5 z K S Z x d W 9 0 O y w m c X V v d D t B Y 3 J l c y B C b 2 5 k Z W Q m c X V v d D s s J n F 1 b 3 Q 7 Q W N y Z X M g R G l z d H V y Y m V k J n F 1 b 3 Q 7 L C Z x d W 9 0 O 0 F j c m V z I E 1 p b m V k J n F 1 b 3 Q 7 L C Z x d W 9 0 O 1 N o b 3 J 0 I F R v b n M v I C A g I C A g I C A g I C A g I E F j c m U g T W l u Z W Q m c X V v d D s s J n F 1 b 3 Q 7 I C Z x d W 9 0 O y w m c X V v d D t U b 3 R h b C B G Z W U g Q 2 9 s b G V j d G V k I C Z x d W 9 0 O y w m c X V v d D s g X z E m c X V v d D s s J n F 1 b 3 Q 7 Q 2 9 s d W 1 u M T I m c X V v d D s s J n F 1 b 3 Q 7 M j A w N y B Q c m 9 k d W N 0 a W 9 u I C h T a G 9 y d C B U b 2 5 z K S Z x d W 9 0 O y w m c X V v d D t E a W Z m Z X J l b m N l J n F 1 b 3 Q 7 L C Z x d W 9 0 O 0 N v b H V t b j E 1 J n F 1 b 3 Q 7 L C Z x d W 9 0 O z I w M D g g Q m 9 u Z G V k I E F j c m V z I C h B X H U w M D I 2 U C k m c X V v d D s s J n F 1 b 3 Q 7 Q 2 9 s d W 1 u M T c m c X V v d D s s J n F 1 b 3 Q 7 Q 2 9 s d W 1 u M T g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1 V N M j A w O C 9 D a G F u Z 2 V k I F R 5 c G U u e 0 N v b X B h b n k s M H 0 m c X V v d D s s J n F 1 b 3 Q 7 U 2 V j d G l v b j E v U 1 V N M j A w O C 9 D a G F u Z 2 V k I F R 5 c G U u e 0 N v b H V t b j I s M X 0 m c X V v d D s s J n F 1 b 3 Q 7 U 2 V j d G l v b j E v U 1 V N M j A w O C 9 D a G F u Z 2 V k I F R 5 c G U u e y A g T W l u Z S A s M n 0 m c X V v d D s s J n F 1 b 3 Q 7 U 2 V j d G l v b j E v U 1 V N M j A w O C 9 D a G F u Z 2 V k I F R 5 c G U u e z I w M D g g U H J v Z H V j d G l v b i A o U 2 h v c n Q g V G 9 u c y k s M 3 0 m c X V v d D s s J n F 1 b 3 Q 7 U 2 V j d G l v b j E v U 1 V N M j A w O C 9 D a G F u Z 2 V k I F R 5 c G U u e 0 F j c m V z I E J v b m R l Z C w 0 f S Z x d W 9 0 O y w m c X V v d D t T Z W N 0 a W 9 u M S 9 T V U 0 y M D A 4 L 0 N o Y W 5 n Z W Q g V H l w Z S 5 7 Q W N y Z X M g R G l z d H V y Y m V k L D V 9 J n F 1 b 3 Q 7 L C Z x d W 9 0 O 1 N l Y 3 R p b 2 4 x L 1 N V T T I w M D g v Q 2 h h b m d l Z C B U e X B l L n t B Y 3 J l c y B N a W 5 l Z C w 2 f S Z x d W 9 0 O y w m c X V v d D t T Z W N 0 a W 9 u M S 9 T V U 0 y M D A 4 L 0 N o Y W 5 n Z W Q g V H l w Z S 5 7 U 2 h v c n Q g V G 9 u c y 8 g I C A g I C A g I C A g I C A g Q W N y Z S B N a W 5 l Z C w 3 f S Z x d W 9 0 O y w m c X V v d D t T Z W N 0 a W 9 u M S 9 T V U 0 y M D A 4 L 0 N o Y W 5 n Z W Q g V H l w Z S 5 7 I C w 4 f S Z x d W 9 0 O y w m c X V v d D t T Z W N 0 a W 9 u M S 9 T V U 0 y M D A 4 L 0 N o Y W 5 n Z W Q g V H l w Z S 5 7 V G 9 0 Y W w g R m V l I E N v b G x l Y 3 R l Z C A s O X 0 m c X V v d D s s J n F 1 b 3 Q 7 U 2 V j d G l v b j E v U 1 V N M j A w O C 9 D a G F u Z 2 V k I F R 5 c G U u e y B f M S w x M H 0 m c X V v d D s s J n F 1 b 3 Q 7 U 2 V j d G l v b j E v U 1 V N M j A w O C 9 D a G F u Z 2 V k I F R 5 c G U u e 0 N v b H V t b j E y L D E x f S Z x d W 9 0 O y w m c X V v d D t T Z W N 0 a W 9 u M S 9 T V U 0 y M D A 4 L 0 N o Y W 5 n Z W Q g V H l w Z S 5 7 M j A w N y B Q c m 9 k d W N 0 a W 9 u I C h T a G 9 y d C B U b 2 5 z K S w x M n 0 m c X V v d D s s J n F 1 b 3 Q 7 U 2 V j d G l v b j E v U 1 V N M j A w O C 9 D a G F u Z 2 V k I F R 5 c G U u e 0 R p Z m Z l c m V u Y 2 U s M T N 9 J n F 1 b 3 Q 7 L C Z x d W 9 0 O 1 N l Y 3 R p b 2 4 x L 1 N V T T I w M D g v Q 2 h h b m d l Z C B U e X B l L n t D b 2 x 1 b W 4 x N S w x N H 0 m c X V v d D s s J n F 1 b 3 Q 7 U 2 V j d G l v b j E v U 1 V N M j A w O C 9 D a G F u Z 2 V k I F R 5 c G U u e z I w M D g g Q m 9 u Z G V k I E F j c m V z I C h B X H U w M D I 2 U C k s M T V 9 J n F 1 b 3 Q 7 L C Z x d W 9 0 O 1 N l Y 3 R p b 2 4 x L 1 N V T T I w M D g v Q 2 h h b m d l Z C B U e X B l L n t D b 2 x 1 b W 4 x N y w x N n 0 m c X V v d D s s J n F 1 b 3 Q 7 U 2 V j d G l v b j E v U 1 V N M j A w O C 9 D a G F u Z 2 V k I F R 5 c G U u e 0 N v b H V t b j E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U 1 V N M j A w O C 9 D a G F u Z 2 V k I F R 5 c G U u e 0 N v b X B h b n k s M H 0 m c X V v d D s s J n F 1 b 3 Q 7 U 2 V j d G l v b j E v U 1 V N M j A w O C 9 D a G F u Z 2 V k I F R 5 c G U u e 0 N v b H V t b j I s M X 0 m c X V v d D s s J n F 1 b 3 Q 7 U 2 V j d G l v b j E v U 1 V N M j A w O C 9 D a G F u Z 2 V k I F R 5 c G U u e y A g T W l u Z S A s M n 0 m c X V v d D s s J n F 1 b 3 Q 7 U 2 V j d G l v b j E v U 1 V N M j A w O C 9 D a G F u Z 2 V k I F R 5 c G U u e z I w M D g g U H J v Z H V j d G l v b i A o U 2 h v c n Q g V G 9 u c y k s M 3 0 m c X V v d D s s J n F 1 b 3 Q 7 U 2 V j d G l v b j E v U 1 V N M j A w O C 9 D a G F u Z 2 V k I F R 5 c G U u e 0 F j c m V z I E J v b m R l Z C w 0 f S Z x d W 9 0 O y w m c X V v d D t T Z W N 0 a W 9 u M S 9 T V U 0 y M D A 4 L 0 N o Y W 5 n Z W Q g V H l w Z S 5 7 Q W N y Z X M g R G l z d H V y Y m V k L D V 9 J n F 1 b 3 Q 7 L C Z x d W 9 0 O 1 N l Y 3 R p b 2 4 x L 1 N V T T I w M D g v Q 2 h h b m d l Z C B U e X B l L n t B Y 3 J l c y B N a W 5 l Z C w 2 f S Z x d W 9 0 O y w m c X V v d D t T Z W N 0 a W 9 u M S 9 T V U 0 y M D A 4 L 0 N o Y W 5 n Z W Q g V H l w Z S 5 7 U 2 h v c n Q g V G 9 u c y 8 g I C A g I C A g I C A g I C A g Q W N y Z S B N a W 5 l Z C w 3 f S Z x d W 9 0 O y w m c X V v d D t T Z W N 0 a W 9 u M S 9 T V U 0 y M D A 4 L 0 N o Y W 5 n Z W Q g V H l w Z S 5 7 I C w 4 f S Z x d W 9 0 O y w m c X V v d D t T Z W N 0 a W 9 u M S 9 T V U 0 y M D A 4 L 0 N o Y W 5 n Z W Q g V H l w Z S 5 7 V G 9 0 Y W w g R m V l I E N v b G x l Y 3 R l Z C A s O X 0 m c X V v d D s s J n F 1 b 3 Q 7 U 2 V j d G l v b j E v U 1 V N M j A w O C 9 D a G F u Z 2 V k I F R 5 c G U u e y B f M S w x M H 0 m c X V v d D s s J n F 1 b 3 Q 7 U 2 V j d G l v b j E v U 1 V N M j A w O C 9 D a G F u Z 2 V k I F R 5 c G U u e 0 N v b H V t b j E y L D E x f S Z x d W 9 0 O y w m c X V v d D t T Z W N 0 a W 9 u M S 9 T V U 0 y M D A 4 L 0 N o Y W 5 n Z W Q g V H l w Z S 5 7 M j A w N y B Q c m 9 k d W N 0 a W 9 u I C h T a G 9 y d C B U b 2 5 z K S w x M n 0 m c X V v d D s s J n F 1 b 3 Q 7 U 2 V j d G l v b j E v U 1 V N M j A w O C 9 D a G F u Z 2 V k I F R 5 c G U u e 0 R p Z m Z l c m V u Y 2 U s M T N 9 J n F 1 b 3 Q 7 L C Z x d W 9 0 O 1 N l Y 3 R p b 2 4 x L 1 N V T T I w M D g v Q 2 h h b m d l Z C B U e X B l L n t D b 2 x 1 b W 4 x N S w x N H 0 m c X V v d D s s J n F 1 b 3 Q 7 U 2 V j d G l v b j E v U 1 V N M j A w O C 9 D a G F u Z 2 V k I F R 5 c G U u e z I w M D g g Q m 9 u Z G V k I E F j c m V z I C h B X H U w M D I 2 U C k s M T V 9 J n F 1 b 3 Q 7 L C Z x d W 9 0 O 1 N l Y 3 R p b 2 4 x L 1 N V T T I w M D g v Q 2 h h b m d l Z C B U e X B l L n t D b 2 x 1 b W 4 x N y w x N n 0 m c X V v d D s s J n F 1 b 3 Q 7 U 2 V j d G l v b j E v U 1 V N M j A w O C 9 D a G F u Z 2 V k I F R 5 c G U u e 0 N v b H V t b j E 4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1 V N M j A w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4 L 1 N V T T I w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4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g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Q t M j B U M T Y 6 N T M 6 N D E u M j M 5 N j A w M F o i I C 8 + P E V u d H J 5 I F R 5 c G U 9 I k Z p b G x D b 2 x 1 b W 5 U e X B l c y I g V m F s d W U 9 I n N B Q U F H Q X d V R k J R V U d C U U F B Q X d V R k J R T U Q i I C 8 + P E V u d H J 5 I F R 5 c G U 9 I k Z p b G x D b 2 x 1 b W 5 O Y W 1 l c y I g V m F s d W U 9 I n N b J n F 1 b 3 Q 7 Q 2 9 t c G F u e S Z x d W 9 0 O y w m c X V v d D t D b 2 x 1 b W 4 y J n F 1 b 3 Q 7 L C Z x d W 9 0 O y A g T W l u Z S A m c X V v d D s s J n F 1 b 3 Q 7 M j A w O S B Q c m 9 k d W N 0 a W 9 u I C h T a G 9 y d C B U b 2 5 z K S Z x d W 9 0 O y w m c X V v d D t B Y 3 J l c y B C b 2 5 k Z W Q m c X V v d D s s J n F 1 b 3 Q 7 Q W N y Z X M g R G l z d H V y Y m V k J n F 1 b 3 Q 7 L C Z x d W 9 0 O 0 F j c m V z I E 1 p b m V k J n F 1 b 3 Q 7 L C Z x d W 9 0 O 1 N o b 3 J 0 I F R v b n M v I C A g I C A g I C A g I C A g I E F j c m U g T W l u Z W Q m c X V v d D s s J n F 1 b 3 Q 7 I C Z x d W 9 0 O y w m c X V v d D t U b 3 R h b C B G Z W U g Q 2 9 s b G V j d G V k I C Z x d W 9 0 O y w m c X V v d D s g X z E m c X V v d D s s J n F 1 b 3 Q 7 Q 2 9 s d W 1 u M T I m c X V v d D s s J n F 1 b 3 Q 7 M j A w O C B Q c m 9 k d W N 0 a W 9 u I C h T a G 9 y d C B U b 2 5 z K S Z x d W 9 0 O y w m c X V v d D t E a W Z m Z X J l b m N l J n F 1 b 3 Q 7 L C Z x d W 9 0 O 0 N v b H V t b j E 1 J n F 1 b 3 Q 7 L C Z x d W 9 0 O z I w M D k g Q m 9 u Z G V k I E F j c m V z I C h B X H U w M D I 2 U C k m c X V v d D s s J n F 1 b 3 Q 7 Q 2 9 s d W 1 u M T c m c X V v d D s s J n F 1 b 3 Q 7 Q 2 9 s d W 1 u M T g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1 V N M j A w O S 9 D a G F u Z 2 V k I F R 5 c G U u e 0 N v b X B h b n k s M H 0 m c X V v d D s s J n F 1 b 3 Q 7 U 2 V j d G l v b j E v U 1 V N M j A w O S 9 D a G F u Z 2 V k I F R 5 c G U u e 0 N v b H V t b j I s M X 0 m c X V v d D s s J n F 1 b 3 Q 7 U 2 V j d G l v b j E v U 1 V N M j A w O S 9 D a G F u Z 2 V k I F R 5 c G U u e y A g T W l u Z S A s M n 0 m c X V v d D s s J n F 1 b 3 Q 7 U 2 V j d G l v b j E v U 1 V N M j A w O S 9 D a G F u Z 2 V k I F R 5 c G U u e z I w M D k g U H J v Z H V j d G l v b i A o U 2 h v c n Q g V G 9 u c y k s M 3 0 m c X V v d D s s J n F 1 b 3 Q 7 U 2 V j d G l v b j E v U 1 V N M j A w O S 9 D a G F u Z 2 V k I F R 5 c G U u e 0 F j c m V z I E J v b m R l Z C w 0 f S Z x d W 9 0 O y w m c X V v d D t T Z W N 0 a W 9 u M S 9 T V U 0 y M D A 5 L 0 N o Y W 5 n Z W Q g V H l w Z S 5 7 Q W N y Z X M g R G l z d H V y Y m V k L D V 9 J n F 1 b 3 Q 7 L C Z x d W 9 0 O 1 N l Y 3 R p b 2 4 x L 1 N V T T I w M D k v Q 2 h h b m d l Z C B U e X B l L n t B Y 3 J l c y B N a W 5 l Z C w 2 f S Z x d W 9 0 O y w m c X V v d D t T Z W N 0 a W 9 u M S 9 T V U 0 y M D A 5 L 0 N o Y W 5 n Z W Q g V H l w Z S 5 7 U 2 h v c n Q g V G 9 u c y 8 g I C A g I C A g I C A g I C A g Q W N y Z S B N a W 5 l Z C w 3 f S Z x d W 9 0 O y w m c X V v d D t T Z W N 0 a W 9 u M S 9 T V U 0 y M D A 5 L 0 N o Y W 5 n Z W Q g V H l w Z S 5 7 I C w 4 f S Z x d W 9 0 O y w m c X V v d D t T Z W N 0 a W 9 u M S 9 T V U 0 y M D A 5 L 0 N o Y W 5 n Z W Q g V H l w Z S 5 7 V G 9 0 Y W w g R m V l I E N v b G x l Y 3 R l Z C A s O X 0 m c X V v d D s s J n F 1 b 3 Q 7 U 2 V j d G l v b j E v U 1 V N M j A w O S 9 D a G F u Z 2 V k I F R 5 c G U u e y B f M S w x M H 0 m c X V v d D s s J n F 1 b 3 Q 7 U 2 V j d G l v b j E v U 1 V N M j A w O S 9 D a G F u Z 2 V k I F R 5 c G U u e 0 N v b H V t b j E y L D E x f S Z x d W 9 0 O y w m c X V v d D t T Z W N 0 a W 9 u M S 9 T V U 0 y M D A 5 L 0 N o Y W 5 n Z W Q g V H l w Z S 5 7 M j A w O C B Q c m 9 k d W N 0 a W 9 u I C h T a G 9 y d C B U b 2 5 z K S w x M n 0 m c X V v d D s s J n F 1 b 3 Q 7 U 2 V j d G l v b j E v U 1 V N M j A w O S 9 D a G F u Z 2 V k I F R 5 c G U u e 0 R p Z m Z l c m V u Y 2 U s M T N 9 J n F 1 b 3 Q 7 L C Z x d W 9 0 O 1 N l Y 3 R p b 2 4 x L 1 N V T T I w M D k v Q 2 h h b m d l Z C B U e X B l L n t D b 2 x 1 b W 4 x N S w x N H 0 m c X V v d D s s J n F 1 b 3 Q 7 U 2 V j d G l v b j E v U 1 V N M j A w O S 9 D a G F u Z 2 V k I F R 5 c G U u e z I w M D k g Q m 9 u Z G V k I E F j c m V z I C h B X H U w M D I 2 U C k s M T V 9 J n F 1 b 3 Q 7 L C Z x d W 9 0 O 1 N l Y 3 R p b 2 4 x L 1 N V T T I w M D k v Q 2 h h b m d l Z C B U e X B l L n t D b 2 x 1 b W 4 x N y w x N n 0 m c X V v d D s s J n F 1 b 3 Q 7 U 2 V j d G l v b j E v U 1 V N M j A w O S 9 D a G F u Z 2 V k I F R 5 c G U u e 0 N v b H V t b j E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U 1 V N M j A w O S 9 D a G F u Z 2 V k I F R 5 c G U u e 0 N v b X B h b n k s M H 0 m c X V v d D s s J n F 1 b 3 Q 7 U 2 V j d G l v b j E v U 1 V N M j A w O S 9 D a G F u Z 2 V k I F R 5 c G U u e 0 N v b H V t b j I s M X 0 m c X V v d D s s J n F 1 b 3 Q 7 U 2 V j d G l v b j E v U 1 V N M j A w O S 9 D a G F u Z 2 V k I F R 5 c G U u e y A g T W l u Z S A s M n 0 m c X V v d D s s J n F 1 b 3 Q 7 U 2 V j d G l v b j E v U 1 V N M j A w O S 9 D a G F u Z 2 V k I F R 5 c G U u e z I w M D k g U H J v Z H V j d G l v b i A o U 2 h v c n Q g V G 9 u c y k s M 3 0 m c X V v d D s s J n F 1 b 3 Q 7 U 2 V j d G l v b j E v U 1 V N M j A w O S 9 D a G F u Z 2 V k I F R 5 c G U u e 0 F j c m V z I E J v b m R l Z C w 0 f S Z x d W 9 0 O y w m c X V v d D t T Z W N 0 a W 9 u M S 9 T V U 0 y M D A 5 L 0 N o Y W 5 n Z W Q g V H l w Z S 5 7 Q W N y Z X M g R G l z d H V y Y m V k L D V 9 J n F 1 b 3 Q 7 L C Z x d W 9 0 O 1 N l Y 3 R p b 2 4 x L 1 N V T T I w M D k v Q 2 h h b m d l Z C B U e X B l L n t B Y 3 J l c y B N a W 5 l Z C w 2 f S Z x d W 9 0 O y w m c X V v d D t T Z W N 0 a W 9 u M S 9 T V U 0 y M D A 5 L 0 N o Y W 5 n Z W Q g V H l w Z S 5 7 U 2 h v c n Q g V G 9 u c y 8 g I C A g I C A g I C A g I C A g Q W N y Z S B N a W 5 l Z C w 3 f S Z x d W 9 0 O y w m c X V v d D t T Z W N 0 a W 9 u M S 9 T V U 0 y M D A 5 L 0 N o Y W 5 n Z W Q g V H l w Z S 5 7 I C w 4 f S Z x d W 9 0 O y w m c X V v d D t T Z W N 0 a W 9 u M S 9 T V U 0 y M D A 5 L 0 N o Y W 5 n Z W Q g V H l w Z S 5 7 V G 9 0 Y W w g R m V l I E N v b G x l Y 3 R l Z C A s O X 0 m c X V v d D s s J n F 1 b 3 Q 7 U 2 V j d G l v b j E v U 1 V N M j A w O S 9 D a G F u Z 2 V k I F R 5 c G U u e y B f M S w x M H 0 m c X V v d D s s J n F 1 b 3 Q 7 U 2 V j d G l v b j E v U 1 V N M j A w O S 9 D a G F u Z 2 V k I F R 5 c G U u e 0 N v b H V t b j E y L D E x f S Z x d W 9 0 O y w m c X V v d D t T Z W N 0 a W 9 u M S 9 T V U 0 y M D A 5 L 0 N o Y W 5 n Z W Q g V H l w Z S 5 7 M j A w O C B Q c m 9 k d W N 0 a W 9 u I C h T a G 9 y d C B U b 2 5 z K S w x M n 0 m c X V v d D s s J n F 1 b 3 Q 7 U 2 V j d G l v b j E v U 1 V N M j A w O S 9 D a G F u Z 2 V k I F R 5 c G U u e 0 R p Z m Z l c m V u Y 2 U s M T N 9 J n F 1 b 3 Q 7 L C Z x d W 9 0 O 1 N l Y 3 R p b 2 4 x L 1 N V T T I w M D k v Q 2 h h b m d l Z C B U e X B l L n t D b 2 x 1 b W 4 x N S w x N H 0 m c X V v d D s s J n F 1 b 3 Q 7 U 2 V j d G l v b j E v U 1 V N M j A w O S 9 D a G F u Z 2 V k I F R 5 c G U u e z I w M D k g Q m 9 u Z G V k I E F j c m V z I C h B X H U w M D I 2 U C k s M T V 9 J n F 1 b 3 Q 7 L C Z x d W 9 0 O 1 N l Y 3 R p b 2 4 x L 1 N V T T I w M D k v Q 2 h h b m d l Z C B U e X B l L n t D b 2 x 1 b W 4 x N y w x N n 0 m c X V v d D s s J n F 1 b 3 Q 7 U 2 V j d G l v b j E v U 1 V N M j A w O S 9 D a G F u Z 2 V k I F R 5 c G U u e 0 N v b H V t b j E 4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1 V N M j A w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5 L 1 N V T T I w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A 5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D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D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Q t M j B U M T Y 6 N T M 6 N D E u M j M 5 N j A w M F o i I C 8 + P E V u d H J 5 I F R 5 c G U 9 I k Z p b G x D b 2 x 1 b W 5 U e X B l c y I g V m F s d W U 9 I n N B Q U F H Q X d V R k J R V U d C U V l B Q X d B R k J R T U Q i I C 8 + P E V u d H J 5 I F R 5 c G U 9 I k Z p b G x D b 2 x 1 b W 5 O Y W 1 l c y I g V m F s d W U 9 I n N b J n F 1 b 3 Q 7 Q 2 9 t c G F u e S Z x d W 9 0 O y w m c X V v d D t D b 2 x 1 b W 4 y J n F 1 b 3 Q 7 L C Z x d W 9 0 O y A g T W l u Z S A m c X V v d D s s J n F 1 b 3 Q 7 M j A x M C B Q c m 9 k d W N 0 a W 9 u I C h T a G 9 y d C B U b 2 5 z K S Z x d W 9 0 O y w m c X V v d D t B Y 3 J l c y A g I E J v b m R l Z C Z x d W 9 0 O y w m c X V v d D t B Y 3 J l c y B E a X N 0 d X J i Z W Q m c X V v d D s s J n F 1 b 3 Q 7 Q W N y Z X M g I C A g T W l u Z W Q m c X V v d D s s J n F 1 b 3 Q 7 U 2 h v c n Q g V G 9 u c y 8 g I C A g I C A g I C A g I C A g Q W N y Z S B N a W 5 l Z C Z x d W 9 0 O y w m c X V v d D s g J n F 1 b 3 Q 7 L C Z x d W 9 0 O 1 R v d G F s I E Z l Z S B D b 2 x s Z W N 0 Z W Q g J n F 1 b 3 Q 7 L C Z x d W 9 0 O y B f M S Z x d W 9 0 O y w m c X V v d D t D b 2 x 1 b W 4 x M i Z x d W 9 0 O y w m c X V v d D s y M D A 5 I F B y b 2 R 1 Y 3 R p b 2 4 g K F N o b 3 J 0 I F R v b n M p J n F 1 b 3 Q 7 L C Z x d W 9 0 O 0 R p Z m Z l c m V u Y 2 U m c X V v d D s s J n F 1 b 3 Q 7 Q 2 9 s d W 1 u M T U m c X V v d D s s J n F 1 b 3 Q 7 M j A x M C B C b 2 5 k Z W Q g Q W N y Z X M g K E F c d T A w M j Z Q K S Z x d W 9 0 O y w m c X V v d D t D b 2 x 1 b W 4 x N y Z x d W 9 0 O y w m c X V v d D t D b 2 x 1 b W 4 x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V U 0 y M D E w L 0 N o Y W 5 n Z W Q g V H l w Z S 5 7 Q 2 9 t c G F u e S w w f S Z x d W 9 0 O y w m c X V v d D t T Z W N 0 a W 9 u M S 9 T V U 0 y M D E w L 0 N o Y W 5 n Z W Q g V H l w Z S 5 7 Q 2 9 s d W 1 u M i w x f S Z x d W 9 0 O y w m c X V v d D t T Z W N 0 a W 9 u M S 9 T V U 0 y M D E w L 0 N o Y W 5 n Z W Q g V H l w Z S 5 7 I C B N a W 5 l I C w y f S Z x d W 9 0 O y w m c X V v d D t T Z W N 0 a W 9 u M S 9 T V U 0 y M D E w L 0 N o Y W 5 n Z W Q g V H l w Z S 5 7 M j A x M C B Q c m 9 k d W N 0 a W 9 u I C h T a G 9 y d C B U b 2 5 z K S w z f S Z x d W 9 0 O y w m c X V v d D t T Z W N 0 a W 9 u M S 9 T V U 0 y M D E w L 0 N o Y W 5 n Z W Q g V H l w Z S 5 7 Q W N y Z X M g I C B C b 2 5 k Z W Q s N H 0 m c X V v d D s s J n F 1 b 3 Q 7 U 2 V j d G l v b j E v U 1 V N M j A x M C 9 D a G F u Z 2 V k I F R 5 c G U u e 0 F j c m V z I E R p c 3 R 1 c m J l Z C w 1 f S Z x d W 9 0 O y w m c X V v d D t T Z W N 0 a W 9 u M S 9 T V U 0 y M D E w L 0 N o Y W 5 n Z W Q g V H l w Z S 5 7 Q W N y Z X M g I C A g T W l u Z W Q s N n 0 m c X V v d D s s J n F 1 b 3 Q 7 U 2 V j d G l v b j E v U 1 V N M j A x M C 9 D a G F u Z 2 V k I F R 5 c G U u e 1 N o b 3 J 0 I F R v b n M v I C A g I C A g I C A g I C A g I E F j c m U g T W l u Z W Q s N 3 0 m c X V v d D s s J n F 1 b 3 Q 7 U 2 V j d G l v b j E v U 1 V N M j A x M C 9 D a G F u Z 2 V k I F R 5 c G U u e y A s O H 0 m c X V v d D s s J n F 1 b 3 Q 7 U 2 V j d G l v b j E v U 1 V N M j A x M C 9 D a G F u Z 2 V k I F R 5 c G U u e 1 R v d G F s I E Z l Z S B D b 2 x s Z W N 0 Z W Q g L D l 9 J n F 1 b 3 Q 7 L C Z x d W 9 0 O 1 N l Y 3 R p b 2 4 x L 1 N V T T I w M T A v Q 2 h h b m d l Z C B U e X B l L n s g X z E s M T B 9 J n F 1 b 3 Q 7 L C Z x d W 9 0 O 1 N l Y 3 R p b 2 4 x L 1 N V T T I w M T A v Q 2 h h b m d l Z C B U e X B l L n t D b 2 x 1 b W 4 x M i w x M X 0 m c X V v d D s s J n F 1 b 3 Q 7 U 2 V j d G l v b j E v U 1 V N M j A x M C 9 D a G F u Z 2 V k I F R 5 c G U u e z I w M D k g U H J v Z H V j d G l v b i A o U 2 h v c n Q g V G 9 u c y k s M T J 9 J n F 1 b 3 Q 7 L C Z x d W 9 0 O 1 N l Y 3 R p b 2 4 x L 1 N V T T I w M T A v Q 2 h h b m d l Z C B U e X B l L n t E a W Z m Z X J l b m N l L D E z f S Z x d W 9 0 O y w m c X V v d D t T Z W N 0 a W 9 u M S 9 T V U 0 y M D E w L 0 N o Y W 5 n Z W Q g V H l w Z S 5 7 Q 2 9 s d W 1 u M T U s M T R 9 J n F 1 b 3 Q 7 L C Z x d W 9 0 O 1 N l Y 3 R p b 2 4 x L 1 N V T T I w M T A v Q 2 h h b m d l Z C B U e X B l L n s y M D E w I E J v b m R l Z C B B Y 3 J l c y A o Q V x 1 M D A y N l A p L D E 1 f S Z x d W 9 0 O y w m c X V v d D t T Z W N 0 a W 9 u M S 9 T V U 0 y M D E w L 0 N o Y W 5 n Z W Q g V H l w Z S 5 7 Q 2 9 s d W 1 u M T c s M T Z 9 J n F 1 b 3 Q 7 L C Z x d W 9 0 O 1 N l Y 3 R p b 2 4 x L 1 N V T T I w M T A v Q 2 h h b m d l Z C B U e X B l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1 N V T T I w M T A v Q 2 h h b m d l Z C B U e X B l L n t D b 2 1 w Y W 5 5 L D B 9 J n F 1 b 3 Q 7 L C Z x d W 9 0 O 1 N l Y 3 R p b 2 4 x L 1 N V T T I w M T A v Q 2 h h b m d l Z C B U e X B l L n t D b 2 x 1 b W 4 y L D F 9 J n F 1 b 3 Q 7 L C Z x d W 9 0 O 1 N l Y 3 R p b 2 4 x L 1 N V T T I w M T A v Q 2 h h b m d l Z C B U e X B l L n s g I E 1 p b m U g L D J 9 J n F 1 b 3 Q 7 L C Z x d W 9 0 O 1 N l Y 3 R p b 2 4 x L 1 N V T T I w M T A v Q 2 h h b m d l Z C B U e X B l L n s y M D E w I F B y b 2 R 1 Y 3 R p b 2 4 g K F N o b 3 J 0 I F R v b n M p L D N 9 J n F 1 b 3 Q 7 L C Z x d W 9 0 O 1 N l Y 3 R p b 2 4 x L 1 N V T T I w M T A v Q 2 h h b m d l Z C B U e X B l L n t B Y 3 J l c y A g I E J v b m R l Z C w 0 f S Z x d W 9 0 O y w m c X V v d D t T Z W N 0 a W 9 u M S 9 T V U 0 y M D E w L 0 N o Y W 5 n Z W Q g V H l w Z S 5 7 Q W N y Z X M g R G l z d H V y Y m V k L D V 9 J n F 1 b 3 Q 7 L C Z x d W 9 0 O 1 N l Y 3 R p b 2 4 x L 1 N V T T I w M T A v Q 2 h h b m d l Z C B U e X B l L n t B Y 3 J l c y A g I C B N a W 5 l Z C w 2 f S Z x d W 9 0 O y w m c X V v d D t T Z W N 0 a W 9 u M S 9 T V U 0 y M D E w L 0 N o Y W 5 n Z W Q g V H l w Z S 5 7 U 2 h v c n Q g V G 9 u c y 8 g I C A g I C A g I C A g I C A g Q W N y Z S B N a W 5 l Z C w 3 f S Z x d W 9 0 O y w m c X V v d D t T Z W N 0 a W 9 u M S 9 T V U 0 y M D E w L 0 N o Y W 5 n Z W Q g V H l w Z S 5 7 I C w 4 f S Z x d W 9 0 O y w m c X V v d D t T Z W N 0 a W 9 u M S 9 T V U 0 y M D E w L 0 N o Y W 5 n Z W Q g V H l w Z S 5 7 V G 9 0 Y W w g R m V l I E N v b G x l Y 3 R l Z C A s O X 0 m c X V v d D s s J n F 1 b 3 Q 7 U 2 V j d G l v b j E v U 1 V N M j A x M C 9 D a G F u Z 2 V k I F R 5 c G U u e y B f M S w x M H 0 m c X V v d D s s J n F 1 b 3 Q 7 U 2 V j d G l v b j E v U 1 V N M j A x M C 9 D a G F u Z 2 V k I F R 5 c G U u e 0 N v b H V t b j E y L D E x f S Z x d W 9 0 O y w m c X V v d D t T Z W N 0 a W 9 u M S 9 T V U 0 y M D E w L 0 N o Y W 5 n Z W Q g V H l w Z S 5 7 M j A w O S B Q c m 9 k d W N 0 a W 9 u I C h T a G 9 y d C B U b 2 5 z K S w x M n 0 m c X V v d D s s J n F 1 b 3 Q 7 U 2 V j d G l v b j E v U 1 V N M j A x M C 9 D a G F u Z 2 V k I F R 5 c G U u e 0 R p Z m Z l c m V u Y 2 U s M T N 9 J n F 1 b 3 Q 7 L C Z x d W 9 0 O 1 N l Y 3 R p b 2 4 x L 1 N V T T I w M T A v Q 2 h h b m d l Z C B U e X B l L n t D b 2 x 1 b W 4 x N S w x N H 0 m c X V v d D s s J n F 1 b 3 Q 7 U 2 V j d G l v b j E v U 1 V N M j A x M C 9 D a G F u Z 2 V k I F R 5 c G U u e z I w M T A g Q m 9 u Z G V k I E F j c m V z I C h B X H U w M D I 2 U C k s M T V 9 J n F 1 b 3 Q 7 L C Z x d W 9 0 O 1 N l Y 3 R p b 2 4 x L 1 N V T T I w M T A v Q 2 h h b m d l Z C B U e X B l L n t D b 2 x 1 b W 4 x N y w x N n 0 m c X V v d D s s J n F 1 b 3 Q 7 U 2 V j d G l v b j E v U 1 V N M j A x M C 9 D a G F u Z 2 V k I F R 5 c G U u e 0 N v b H V t b j E 4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1 V N M j A x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w L 1 N V T T I w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w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T A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Q t M j B U M T Y 6 N T M 6 N D E u M j U 1 M j I 2 O V o i I C 8 + P E V u d H J 5 I F R 5 c G U 9 I k Z p b G x D b 2 x 1 b W 5 U e X B l c y I g V m F s d W U 9 I n N B Q U F H Q X d V Q U J R V U d C U V l B Q X d B R k J R T U Q i I C 8 + P E V u d H J 5 I F R 5 c G U 9 I k Z p b G x D b 2 x 1 b W 5 O Y W 1 l c y I g V m F s d W U 9 I n N b J n F 1 b 3 Q 7 Q 2 9 t c G F u e S Z x d W 9 0 O y w m c X V v d D t D b 2 x 1 b W 4 y J n F 1 b 3 Q 7 L C Z x d W 9 0 O y A g T W l u Z S A m c X V v d D s s J n F 1 b 3 Q 7 M j A x M S B Q c m 9 k d W N 0 a W 9 u I C h T a G 9 y d C B U b 2 5 z K S Z x d W 9 0 O y w m c X V v d D t B Y 3 J l c y A g I E J v b m R l Z C Z x d W 9 0 O y w m c X V v d D t B Y 3 J l c y B E a X N 0 d X J i Z W Q m c X V v d D s s J n F 1 b 3 Q 7 Q W N y Z X M g I C A g T W l u Z W Q m c X V v d D s s J n F 1 b 3 Q 7 U 2 h v c n Q g V G 9 u c y 8 g I C A g I C A g I C A g I C A g Q W N y Z S B N a W 5 l Z C Z x d W 9 0 O y w m c X V v d D s g J n F 1 b 3 Q 7 L C Z x d W 9 0 O 1 R v d G F s I E Z l Z S B D b 2 x s Z W N 0 Z W Q g J n F 1 b 3 Q 7 L C Z x d W 9 0 O y B f M S Z x d W 9 0 O y w m c X V v d D t D b 2 x 1 b W 4 x M i Z x d W 9 0 O y w m c X V v d D s y M D E w I F B y b 2 R 1 Y 3 R p b 2 4 g K F N o b 3 J 0 I F R v b n M p J n F 1 b 3 Q 7 L C Z x d W 9 0 O 0 R p Z m Z l c m V u Y 2 U m c X V v d D s s J n F 1 b 3 Q 7 J S B p b m N y Z W F z Z S Z x d W 9 0 O y w m c X V v d D s y M D E x I E J v b m R l Z C B B Y 3 J l c y A o Q V x 1 M D A y N l A p J n F 1 b 3 Q 7 L C Z x d W 9 0 O 0 N v b H V t b j E 3 J n F 1 b 3 Q 7 L C Z x d W 9 0 O 0 N v b H V t b j E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T T I w M T E v Q 2 h h b m d l Z C B U e X B l L n t D b 2 1 w Y W 5 5 L D B 9 J n F 1 b 3 Q 7 L C Z x d W 9 0 O 1 N l Y 3 R p b 2 4 x L 1 N V T T I w M T E v Q 2 h h b m d l Z C B U e X B l L n t D b 2 x 1 b W 4 y L D F 9 J n F 1 b 3 Q 7 L C Z x d W 9 0 O 1 N l Y 3 R p b 2 4 x L 1 N V T T I w M T E v Q 2 h h b m d l Z C B U e X B l L n s g I E 1 p b m U g L D J 9 J n F 1 b 3 Q 7 L C Z x d W 9 0 O 1 N l Y 3 R p b 2 4 x L 1 N V T T I w M T E v Q 2 h h b m d l Z C B U e X B l L n s y M D E x I F B y b 2 R 1 Y 3 R p b 2 4 g K F N o b 3 J 0 I F R v b n M p L D N 9 J n F 1 b 3 Q 7 L C Z x d W 9 0 O 1 N l Y 3 R p b 2 4 x L 1 N V T T I w M T E v Q 2 h h b m d l Z C B U e X B l L n t B Y 3 J l c y A g I E J v b m R l Z C w 0 f S Z x d W 9 0 O y w m c X V v d D t T Z W N 0 a W 9 u M S 9 T V U 0 y M D E x L 0 N o Y W 5 n Z W Q g V H l w Z S 5 7 Q W N y Z X M g R G l z d H V y Y m V k L D V 9 J n F 1 b 3 Q 7 L C Z x d W 9 0 O 1 N l Y 3 R p b 2 4 x L 1 N V T T I w M T E v Q 2 h h b m d l Z C B U e X B l L n t B Y 3 J l c y A g I C B N a W 5 l Z C w 2 f S Z x d W 9 0 O y w m c X V v d D t T Z W N 0 a W 9 u M S 9 T V U 0 y M D E x L 0 N o Y W 5 n Z W Q g V H l w Z S 5 7 U 2 h v c n Q g V G 9 u c y 8 g I C A g I C A g I C A g I C A g Q W N y Z S B N a W 5 l Z C w 3 f S Z x d W 9 0 O y w m c X V v d D t T Z W N 0 a W 9 u M S 9 T V U 0 y M D E x L 0 N o Y W 5 n Z W Q g V H l w Z S 5 7 I C w 4 f S Z x d W 9 0 O y w m c X V v d D t T Z W N 0 a W 9 u M S 9 T V U 0 y M D E x L 0 N o Y W 5 n Z W Q g V H l w Z S 5 7 V G 9 0 Y W w g R m V l I E N v b G x l Y 3 R l Z C A s O X 0 m c X V v d D s s J n F 1 b 3 Q 7 U 2 V j d G l v b j E v U 1 V N M j A x M S 9 D a G F u Z 2 V k I F R 5 c G U u e y B f M S w x M H 0 m c X V v d D s s J n F 1 b 3 Q 7 U 2 V j d G l v b j E v U 1 V N M j A x M S 9 D a G F u Z 2 V k I F R 5 c G U u e 0 N v b H V t b j E y L D E x f S Z x d W 9 0 O y w m c X V v d D t T Z W N 0 a W 9 u M S 9 T V U 0 y M D E x L 0 N o Y W 5 n Z W Q g V H l w Z S 5 7 M j A x M C B Q c m 9 k d W N 0 a W 9 u I C h T a G 9 y d C B U b 2 5 z K S w x M n 0 m c X V v d D s s J n F 1 b 3 Q 7 U 2 V j d G l v b j E v U 1 V N M j A x M S 9 D a G F u Z 2 V k I F R 5 c G U u e 0 R p Z m Z l c m V u Y 2 U s M T N 9 J n F 1 b 3 Q 7 L C Z x d W 9 0 O 1 N l Y 3 R p b 2 4 x L 1 N V T T I w M T E v Q 2 h h b m d l Z C B U e X B l L n s l I G l u Y 3 J l Y X N l L D E 0 f S Z x d W 9 0 O y w m c X V v d D t T Z W N 0 a W 9 u M S 9 T V U 0 y M D E x L 0 N o Y W 5 n Z W Q g V H l w Z S 5 7 M j A x M S B C b 2 5 k Z W Q g Q W N y Z X M g K E F c d T A w M j Z Q K S w x N X 0 m c X V v d D s s J n F 1 b 3 Q 7 U 2 V j d G l v b j E v U 1 V N M j A x M S 9 D a G F u Z 2 V k I F R 5 c G U u e 0 N v b H V t b j E 3 L D E 2 f S Z x d W 9 0 O y w m c X V v d D t T Z W N 0 a W 9 u M S 9 T V U 0 y M D E x L 0 N o Y W 5 n Z W Q g V H l w Z S 5 7 Q 2 9 s d W 1 u M T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9 T V U 0 y M D E x L 0 N o Y W 5 n Z W Q g V H l w Z S 5 7 Q 2 9 t c G F u e S w w f S Z x d W 9 0 O y w m c X V v d D t T Z W N 0 a W 9 u M S 9 T V U 0 y M D E x L 0 N o Y W 5 n Z W Q g V H l w Z S 5 7 Q 2 9 s d W 1 u M i w x f S Z x d W 9 0 O y w m c X V v d D t T Z W N 0 a W 9 u M S 9 T V U 0 y M D E x L 0 N o Y W 5 n Z W Q g V H l w Z S 5 7 I C B N a W 5 l I C w y f S Z x d W 9 0 O y w m c X V v d D t T Z W N 0 a W 9 u M S 9 T V U 0 y M D E x L 0 N o Y W 5 n Z W Q g V H l w Z S 5 7 M j A x M S B Q c m 9 k d W N 0 a W 9 u I C h T a G 9 y d C B U b 2 5 z K S w z f S Z x d W 9 0 O y w m c X V v d D t T Z W N 0 a W 9 u M S 9 T V U 0 y M D E x L 0 N o Y W 5 n Z W Q g V H l w Z S 5 7 Q W N y Z X M g I C B C b 2 5 k Z W Q s N H 0 m c X V v d D s s J n F 1 b 3 Q 7 U 2 V j d G l v b j E v U 1 V N M j A x M S 9 D a G F u Z 2 V k I F R 5 c G U u e 0 F j c m V z I E R p c 3 R 1 c m J l Z C w 1 f S Z x d W 9 0 O y w m c X V v d D t T Z W N 0 a W 9 u M S 9 T V U 0 y M D E x L 0 N o Y W 5 n Z W Q g V H l w Z S 5 7 Q W N y Z X M g I C A g T W l u Z W Q s N n 0 m c X V v d D s s J n F 1 b 3 Q 7 U 2 V j d G l v b j E v U 1 V N M j A x M S 9 D a G F u Z 2 V k I F R 5 c G U u e 1 N o b 3 J 0 I F R v b n M v I C A g I C A g I C A g I C A g I E F j c m U g T W l u Z W Q s N 3 0 m c X V v d D s s J n F 1 b 3 Q 7 U 2 V j d G l v b j E v U 1 V N M j A x M S 9 D a G F u Z 2 V k I F R 5 c G U u e y A s O H 0 m c X V v d D s s J n F 1 b 3 Q 7 U 2 V j d G l v b j E v U 1 V N M j A x M S 9 D a G F u Z 2 V k I F R 5 c G U u e 1 R v d G F s I E Z l Z S B D b 2 x s Z W N 0 Z W Q g L D l 9 J n F 1 b 3 Q 7 L C Z x d W 9 0 O 1 N l Y 3 R p b 2 4 x L 1 N V T T I w M T E v Q 2 h h b m d l Z C B U e X B l L n s g X z E s M T B 9 J n F 1 b 3 Q 7 L C Z x d W 9 0 O 1 N l Y 3 R p b 2 4 x L 1 N V T T I w M T E v Q 2 h h b m d l Z C B U e X B l L n t D b 2 x 1 b W 4 x M i w x M X 0 m c X V v d D s s J n F 1 b 3 Q 7 U 2 V j d G l v b j E v U 1 V N M j A x M S 9 D a G F u Z 2 V k I F R 5 c G U u e z I w M T A g U H J v Z H V j d G l v b i A o U 2 h v c n Q g V G 9 u c y k s M T J 9 J n F 1 b 3 Q 7 L C Z x d W 9 0 O 1 N l Y 3 R p b 2 4 x L 1 N V T T I w M T E v Q 2 h h b m d l Z C B U e X B l L n t E a W Z m Z X J l b m N l L D E z f S Z x d W 9 0 O y w m c X V v d D t T Z W N 0 a W 9 u M S 9 T V U 0 y M D E x L 0 N o Y W 5 n Z W Q g V H l w Z S 5 7 J S B p b m N y Z W F z Z S w x N H 0 m c X V v d D s s J n F 1 b 3 Q 7 U 2 V j d G l v b j E v U 1 V N M j A x M S 9 D a G F u Z 2 V k I F R 5 c G U u e z I w M T E g Q m 9 u Z G V k I E F j c m V z I C h B X H U w M D I 2 U C k s M T V 9 J n F 1 b 3 Q 7 L C Z x d W 9 0 O 1 N l Y 3 R p b 2 4 x L 1 N V T T I w M T E v Q 2 h h b m d l Z C B U e X B l L n t D b 2 x 1 b W 4 x N y w x N n 0 m c X V v d D s s J n F 1 b 3 Q 7 U 2 V j d G l v b j E v U 1 V N M j A x M S 9 D a G F u Z 2 V k I F R 5 c G U u e 0 N v b H V t b j E 4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1 V N M j A x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x L 1 N V T T I w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x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T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Q t M j B U M T Y 6 N T M 6 N D E u M j c x M T k 3 M l o i I C 8 + P E V u d H J 5 I F R 5 c G U 9 I k Z p b G x D b 2 x 1 b W 5 U e X B l c y I g V m F s d W U 9 I n N B Q U F H Q X d V Q U J R V U d C U V l B Q X d N R k J R T U R B Q U 0 9 I i A v P j x F b n R y e S B U e X B l P S J G a W x s Q 2 9 s d W 1 u T m F t Z X M i I F Z h b H V l P S J z W y Z x d W 9 0 O 0 N v b X B h b n k m c X V v d D s s J n F 1 b 3 Q 7 Q 2 9 s d W 1 u M i Z x d W 9 0 O y w m c X V v d D s g I E 1 p b m U g J n F 1 b 3 Q 7 L C Z x d W 9 0 O z I w M T I g U H J v Z H V j d G l v b i A o U 2 h v c n Q g V G 9 u c y k m c X V v d D s s J n F 1 b 3 Q 7 Q W N y Z X M g I C B C b 2 5 k Z W Q m c X V v d D s s J n F 1 b 3 Q 7 Q W N y Z X M g R G l z d H V y Y m V k J n F 1 b 3 Q 7 L C Z x d W 9 0 O 0 F j c m V z I C A g I E 1 p b m V k J n F 1 b 3 Q 7 L C Z x d W 9 0 O 1 N o b 3 J 0 I F R v b n M v I C A g I C A g I C A g I C A g I E F j c m U g T W l u Z W Q m c X V v d D s s J n F 1 b 3 Q 7 I C Z x d W 9 0 O y w m c X V v d D t U b 3 R h b C B G Z W U g Q 2 9 s b G V j d G V k I C Z x d W 9 0 O y w m c X V v d D s g X z E m c X V v d D s s J n F 1 b 3 Q 7 Q 2 9 s d W 1 u M T I m c X V v d D s s J n F 1 b 3 Q 7 M j A x M S B Q c m 9 k d W N 0 a W 9 u I C h T a G 9 y d C B U b 2 5 z K S Z x d W 9 0 O y w m c X V v d D t E a W Z m Z X J l b m N l J n F 1 b 3 Q 7 L C Z x d W 9 0 O y U g a W 5 j c m V h c 2 U m c X V v d D s s J n F 1 b 3 Q 7 M j A x M i B C b 2 5 k Z W Q g Q W N y Z X M g K E F c d T A w M j Z Q K S Z x d W 9 0 O y w m c X V v d D t D b 2 x 1 b W 4 x N y Z x d W 9 0 O y w m c X V v d D t D b 2 x 1 b W 4 x O C Z x d W 9 0 O y w m c X V v d D t D b 2 x 1 b W 4 x O S Z x d W 9 0 O y w m c X V v d D t D b 2 x 1 b W 4 y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V U 0 y M D E y L 0 N o Y W 5 n Z W Q g V H l w Z S 5 7 Q 2 9 t c G F u e S w w f S Z x d W 9 0 O y w m c X V v d D t T Z W N 0 a W 9 u M S 9 T V U 0 y M D E y L 0 N o Y W 5 n Z W Q g V H l w Z S 5 7 Q 2 9 s d W 1 u M i w x f S Z x d W 9 0 O y w m c X V v d D t T Z W N 0 a W 9 u M S 9 T V U 0 y M D E y L 0 N o Y W 5 n Z W Q g V H l w Z S 5 7 I C B N a W 5 l I C w y f S Z x d W 9 0 O y w m c X V v d D t T Z W N 0 a W 9 u M S 9 T V U 0 y M D E y L 0 N o Y W 5 n Z W Q g V H l w Z S 5 7 M j A x M i B Q c m 9 k d W N 0 a W 9 u I C h T a G 9 y d C B U b 2 5 z K S w z f S Z x d W 9 0 O y w m c X V v d D t T Z W N 0 a W 9 u M S 9 T V U 0 y M D E y L 0 N o Y W 5 n Z W Q g V H l w Z S 5 7 Q W N y Z X M g I C B C b 2 5 k Z W Q s N H 0 m c X V v d D s s J n F 1 b 3 Q 7 U 2 V j d G l v b j E v U 1 V N M j A x M i 9 D a G F u Z 2 V k I F R 5 c G U u e 0 F j c m V z I E R p c 3 R 1 c m J l Z C w 1 f S Z x d W 9 0 O y w m c X V v d D t T Z W N 0 a W 9 u M S 9 T V U 0 y M D E y L 0 N o Y W 5 n Z W Q g V H l w Z S 5 7 Q W N y Z X M g I C A g T W l u Z W Q s N n 0 m c X V v d D s s J n F 1 b 3 Q 7 U 2 V j d G l v b j E v U 1 V N M j A x M i 9 D a G F u Z 2 V k I F R 5 c G U u e 1 N o b 3 J 0 I F R v b n M v I C A g I C A g I C A g I C A g I E F j c m U g T W l u Z W Q s N 3 0 m c X V v d D s s J n F 1 b 3 Q 7 U 2 V j d G l v b j E v U 1 V N M j A x M i 9 D a G F u Z 2 V k I F R 5 c G U u e y A s O H 0 m c X V v d D s s J n F 1 b 3 Q 7 U 2 V j d G l v b j E v U 1 V N M j A x M i 9 D a G F u Z 2 V k I F R 5 c G U u e 1 R v d G F s I E Z l Z S B D b 2 x s Z W N 0 Z W Q g L D l 9 J n F 1 b 3 Q 7 L C Z x d W 9 0 O 1 N l Y 3 R p b 2 4 x L 1 N V T T I w M T I v Q 2 h h b m d l Z C B U e X B l L n s g X z E s M T B 9 J n F 1 b 3 Q 7 L C Z x d W 9 0 O 1 N l Y 3 R p b 2 4 x L 1 N V T T I w M T I v Q 2 h h b m d l Z C B U e X B l L n t D b 2 x 1 b W 4 x M i w x M X 0 m c X V v d D s s J n F 1 b 3 Q 7 U 2 V j d G l v b j E v U 1 V N M j A x M i 9 D a G F u Z 2 V k I F R 5 c G U u e z I w M T E g U H J v Z H V j d G l v b i A o U 2 h v c n Q g V G 9 u c y k s M T J 9 J n F 1 b 3 Q 7 L C Z x d W 9 0 O 1 N l Y 3 R p b 2 4 x L 1 N V T T I w M T I v Q 2 h h b m d l Z C B U e X B l L n t E a W Z m Z X J l b m N l L D E z f S Z x d W 9 0 O y w m c X V v d D t T Z W N 0 a W 9 u M S 9 T V U 0 y M D E y L 0 N o Y W 5 n Z W Q g V H l w Z S 5 7 J S B p b m N y Z W F z Z S w x N H 0 m c X V v d D s s J n F 1 b 3 Q 7 U 2 V j d G l v b j E v U 1 V N M j A x M i 9 D a G F u Z 2 V k I F R 5 c G U u e z I w M T I g Q m 9 u Z G V k I E F j c m V z I C h B X H U w M D I 2 U C k s M T V 9 J n F 1 b 3 Q 7 L C Z x d W 9 0 O 1 N l Y 3 R p b 2 4 x L 1 N V T T I w M T I v Q 2 h h b m d l Z C B U e X B l L n t D b 2 x 1 b W 4 x N y w x N n 0 m c X V v d D s s J n F 1 b 3 Q 7 U 2 V j d G l v b j E v U 1 V N M j A x M i 9 D a G F u Z 2 V k I F R 5 c G U u e 0 N v b H V t b j E 4 L D E 3 f S Z x d W 9 0 O y w m c X V v d D t T Z W N 0 a W 9 u M S 9 T V U 0 y M D E y L 0 N o Y W 5 n Z W Q g V H l w Z S 5 7 Q 2 9 s d W 1 u M T k s M T h 9 J n F 1 b 3 Q 7 L C Z x d W 9 0 O 1 N l Y 3 R p b 2 4 x L 1 N V T T I w M T I v Q 2 h h b m d l Z C B U e X B l L n t D b 2 x 1 b W 4 y M C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1 N V T T I w M T I v Q 2 h h b m d l Z C B U e X B l L n t D b 2 1 w Y W 5 5 L D B 9 J n F 1 b 3 Q 7 L C Z x d W 9 0 O 1 N l Y 3 R p b 2 4 x L 1 N V T T I w M T I v Q 2 h h b m d l Z C B U e X B l L n t D b 2 x 1 b W 4 y L D F 9 J n F 1 b 3 Q 7 L C Z x d W 9 0 O 1 N l Y 3 R p b 2 4 x L 1 N V T T I w M T I v Q 2 h h b m d l Z C B U e X B l L n s g I E 1 p b m U g L D J 9 J n F 1 b 3 Q 7 L C Z x d W 9 0 O 1 N l Y 3 R p b 2 4 x L 1 N V T T I w M T I v Q 2 h h b m d l Z C B U e X B l L n s y M D E y I F B y b 2 R 1 Y 3 R p b 2 4 g K F N o b 3 J 0 I F R v b n M p L D N 9 J n F 1 b 3 Q 7 L C Z x d W 9 0 O 1 N l Y 3 R p b 2 4 x L 1 N V T T I w M T I v Q 2 h h b m d l Z C B U e X B l L n t B Y 3 J l c y A g I E J v b m R l Z C w 0 f S Z x d W 9 0 O y w m c X V v d D t T Z W N 0 a W 9 u M S 9 T V U 0 y M D E y L 0 N o Y W 5 n Z W Q g V H l w Z S 5 7 Q W N y Z X M g R G l z d H V y Y m V k L D V 9 J n F 1 b 3 Q 7 L C Z x d W 9 0 O 1 N l Y 3 R p b 2 4 x L 1 N V T T I w M T I v Q 2 h h b m d l Z C B U e X B l L n t B Y 3 J l c y A g I C B N a W 5 l Z C w 2 f S Z x d W 9 0 O y w m c X V v d D t T Z W N 0 a W 9 u M S 9 T V U 0 y M D E y L 0 N o Y W 5 n Z W Q g V H l w Z S 5 7 U 2 h v c n Q g V G 9 u c y 8 g I C A g I C A g I C A g I C A g Q W N y Z S B N a W 5 l Z C w 3 f S Z x d W 9 0 O y w m c X V v d D t T Z W N 0 a W 9 u M S 9 T V U 0 y M D E y L 0 N o Y W 5 n Z W Q g V H l w Z S 5 7 I C w 4 f S Z x d W 9 0 O y w m c X V v d D t T Z W N 0 a W 9 u M S 9 T V U 0 y M D E y L 0 N o Y W 5 n Z W Q g V H l w Z S 5 7 V G 9 0 Y W w g R m V l I E N v b G x l Y 3 R l Z C A s O X 0 m c X V v d D s s J n F 1 b 3 Q 7 U 2 V j d G l v b j E v U 1 V N M j A x M i 9 D a G F u Z 2 V k I F R 5 c G U u e y B f M S w x M H 0 m c X V v d D s s J n F 1 b 3 Q 7 U 2 V j d G l v b j E v U 1 V N M j A x M i 9 D a G F u Z 2 V k I F R 5 c G U u e 0 N v b H V t b j E y L D E x f S Z x d W 9 0 O y w m c X V v d D t T Z W N 0 a W 9 u M S 9 T V U 0 y M D E y L 0 N o Y W 5 n Z W Q g V H l w Z S 5 7 M j A x M S B Q c m 9 k d W N 0 a W 9 u I C h T a G 9 y d C B U b 2 5 z K S w x M n 0 m c X V v d D s s J n F 1 b 3 Q 7 U 2 V j d G l v b j E v U 1 V N M j A x M i 9 D a G F u Z 2 V k I F R 5 c G U u e 0 R p Z m Z l c m V u Y 2 U s M T N 9 J n F 1 b 3 Q 7 L C Z x d W 9 0 O 1 N l Y 3 R p b 2 4 x L 1 N V T T I w M T I v Q 2 h h b m d l Z C B U e X B l L n s l I G l u Y 3 J l Y X N l L D E 0 f S Z x d W 9 0 O y w m c X V v d D t T Z W N 0 a W 9 u M S 9 T V U 0 y M D E y L 0 N o Y W 5 n Z W Q g V H l w Z S 5 7 M j A x M i B C b 2 5 k Z W Q g Q W N y Z X M g K E F c d T A w M j Z Q K S w x N X 0 m c X V v d D s s J n F 1 b 3 Q 7 U 2 V j d G l v b j E v U 1 V N M j A x M i 9 D a G F u Z 2 V k I F R 5 c G U u e 0 N v b H V t b j E 3 L D E 2 f S Z x d W 9 0 O y w m c X V v d D t T Z W N 0 a W 9 u M S 9 T V U 0 y M D E y L 0 N o Y W 5 n Z W Q g V H l w Z S 5 7 Q 2 9 s d W 1 u M T g s M T d 9 J n F 1 b 3 Q 7 L C Z x d W 9 0 O 1 N l Y 3 R p b 2 4 x L 1 N V T T I w M T I v Q 2 h h b m d l Z C B U e X B l L n t D b 2 x 1 b W 4 x O S w x O H 0 m c X V v d D s s J n F 1 b 3 Q 7 U 2 V j d G l v b j E v U 1 V N M j A x M i 9 D a G F u Z 2 V k I F R 5 c G U u e 0 N v b H V t b j I w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1 V N M j A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y L 1 N V T T I w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Q t M j B U M T Y 6 N T M 6 N D E u M j c x M T k 3 M l o i I C 8 + P E V u d H J 5 I F R 5 c G U 9 I k Z p b G x D b 2 x 1 b W 5 U e X B l c y I g V m F s d W U 9 I n N B Q U F H Q X d V Q U J R V U d C U V l B Q X d N R k J R T U R C Z 0 E 9 I i A v P j x F b n R y e S B U e X B l P S J G a W x s Q 2 9 s d W 1 u T m F t Z X M i I F Z h b H V l P S J z W y Z x d W 9 0 O 0 N v b X B h b n k m c X V v d D s s J n F 1 b 3 Q 7 Q 2 9 s d W 1 u M i Z x d W 9 0 O y w m c X V v d D s g I E 1 p b m U g J n F 1 b 3 Q 7 L C Z x d W 9 0 O z I w M T M g U H J v Z H V j d G l v b i A o U 2 h v c n Q g V G 9 u c y k m c X V v d D s s J n F 1 b 3 Q 7 Q W N y Z X M g I C B C b 2 5 k Z W Q m c X V v d D s s J n F 1 b 3 Q 7 Q W N y Z X M g R G l z d H V y Y m V k J n F 1 b 3 Q 7 L C Z x d W 9 0 O 0 F j c m V z I C A g I E 1 p b m V k J n F 1 b 3 Q 7 L C Z x d W 9 0 O 1 N o b 3 J 0 I F R v b n M v I C A g I C A g I C A g I C A g I E F j c m U g T W l u Z W Q m c X V v d D s s J n F 1 b 3 Q 7 I C Z x d W 9 0 O y w m c X V v d D t U b 3 R h b C B G Z W U g Q 2 9 s b G V j d G V k I C Z x d W 9 0 O y w m c X V v d D s g X z E m c X V v d D s s J n F 1 b 3 Q 7 Q 2 9 s d W 1 u M T I m c X V v d D s s J n F 1 b 3 Q 7 M j A x M i B Q c m 9 k d W N 0 a W 9 u I C h T a G 9 y d C B U b 2 5 z K S Z x d W 9 0 O y w m c X V v d D t E a W Z m Z X J l b m N l J n F 1 b 3 Q 7 L C Z x d W 9 0 O y U g a W 5 j c m V h c 2 U m c X V v d D s s J n F 1 b 3 Q 7 M j A x M y B C b 2 5 k Z W Q g Q W N y Z X M g K E F c d T A w M j Z Q K S Z x d W 9 0 O y w m c X V v d D t D b 2 x 1 b W 4 x N y Z x d W 9 0 O y w m c X V v d D t D b 2 x 1 b W 4 x O C Z x d W 9 0 O y w m c X V v d D t D b 2 x 1 b W 4 x O S Z x d W 9 0 O y w m c X V v d D t D b 2 x 1 b W 4 y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V U 0 y M D E z L 0 N o Y W 5 n Z W Q g V H l w Z S 5 7 Q 2 9 t c G F u e S w w f S Z x d W 9 0 O y w m c X V v d D t T Z W N 0 a W 9 u M S 9 T V U 0 y M D E z L 0 N o Y W 5 n Z W Q g V H l w Z S 5 7 Q 2 9 s d W 1 u M i w x f S Z x d W 9 0 O y w m c X V v d D t T Z W N 0 a W 9 u M S 9 T V U 0 y M D E z L 0 N o Y W 5 n Z W Q g V H l w Z S 5 7 I C B N a W 5 l I C w y f S Z x d W 9 0 O y w m c X V v d D t T Z W N 0 a W 9 u M S 9 T V U 0 y M D E z L 0 N o Y W 5 n Z W Q g V H l w Z S 5 7 M j A x M y B Q c m 9 k d W N 0 a W 9 u I C h T a G 9 y d C B U b 2 5 z K S w z f S Z x d W 9 0 O y w m c X V v d D t T Z W N 0 a W 9 u M S 9 T V U 0 y M D E z L 0 N o Y W 5 n Z W Q g V H l w Z S 5 7 Q W N y Z X M g I C B C b 2 5 k Z W Q s N H 0 m c X V v d D s s J n F 1 b 3 Q 7 U 2 V j d G l v b j E v U 1 V N M j A x M y 9 D a G F u Z 2 V k I F R 5 c G U u e 0 F j c m V z I E R p c 3 R 1 c m J l Z C w 1 f S Z x d W 9 0 O y w m c X V v d D t T Z W N 0 a W 9 u M S 9 T V U 0 y M D E z L 0 N o Y W 5 n Z W Q g V H l w Z S 5 7 Q W N y Z X M g I C A g T W l u Z W Q s N n 0 m c X V v d D s s J n F 1 b 3 Q 7 U 2 V j d G l v b j E v U 1 V N M j A x M y 9 D a G F u Z 2 V k I F R 5 c G U u e 1 N o b 3 J 0 I F R v b n M v I C A g I C A g I C A g I C A g I E F j c m U g T W l u Z W Q s N 3 0 m c X V v d D s s J n F 1 b 3 Q 7 U 2 V j d G l v b j E v U 1 V N M j A x M y 9 D a G F u Z 2 V k I F R 5 c G U u e y A s O H 0 m c X V v d D s s J n F 1 b 3 Q 7 U 2 V j d G l v b j E v U 1 V N M j A x M y 9 D a G F u Z 2 V k I F R 5 c G U u e 1 R v d G F s I E Z l Z S B D b 2 x s Z W N 0 Z W Q g L D l 9 J n F 1 b 3 Q 7 L C Z x d W 9 0 O 1 N l Y 3 R p b 2 4 x L 1 N V T T I w M T M v Q 2 h h b m d l Z C B U e X B l L n s g X z E s M T B 9 J n F 1 b 3 Q 7 L C Z x d W 9 0 O 1 N l Y 3 R p b 2 4 x L 1 N V T T I w M T M v Q 2 h h b m d l Z C B U e X B l L n t D b 2 x 1 b W 4 x M i w x M X 0 m c X V v d D s s J n F 1 b 3 Q 7 U 2 V j d G l v b j E v U 1 V N M j A x M y 9 D a G F u Z 2 V k I F R 5 c G U u e z I w M T I g U H J v Z H V j d G l v b i A o U 2 h v c n Q g V G 9 u c y k s M T J 9 J n F 1 b 3 Q 7 L C Z x d W 9 0 O 1 N l Y 3 R p b 2 4 x L 1 N V T T I w M T M v Q 2 h h b m d l Z C B U e X B l L n t E a W Z m Z X J l b m N l L D E z f S Z x d W 9 0 O y w m c X V v d D t T Z W N 0 a W 9 u M S 9 T V U 0 y M D E z L 0 N o Y W 5 n Z W Q g V H l w Z S 5 7 J S B p b m N y Z W F z Z S w x N H 0 m c X V v d D s s J n F 1 b 3 Q 7 U 2 V j d G l v b j E v U 1 V N M j A x M y 9 D a G F u Z 2 V k I F R 5 c G U u e z I w M T M g Q m 9 u Z G V k I E F j c m V z I C h B X H U w M D I 2 U C k s M T V 9 J n F 1 b 3 Q 7 L C Z x d W 9 0 O 1 N l Y 3 R p b 2 4 x L 1 N V T T I w M T M v Q 2 h h b m d l Z C B U e X B l L n t D b 2 x 1 b W 4 x N y w x N n 0 m c X V v d D s s J n F 1 b 3 Q 7 U 2 V j d G l v b j E v U 1 V N M j A x M y 9 D a G F u Z 2 V k I F R 5 c G U u e 0 N v b H V t b j E 4 L D E 3 f S Z x d W 9 0 O y w m c X V v d D t T Z W N 0 a W 9 u M S 9 T V U 0 y M D E z L 0 N o Y W 5 n Z W Q g V H l w Z S 5 7 Q 2 9 s d W 1 u M T k s M T h 9 J n F 1 b 3 Q 7 L C Z x d W 9 0 O 1 N l Y 3 R p b 2 4 x L 1 N V T T I w M T M v Q 2 h h b m d l Z C B U e X B l L n t D b 2 x 1 b W 4 y M C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1 N V T T I w M T M v Q 2 h h b m d l Z C B U e X B l L n t D b 2 1 w Y W 5 5 L D B 9 J n F 1 b 3 Q 7 L C Z x d W 9 0 O 1 N l Y 3 R p b 2 4 x L 1 N V T T I w M T M v Q 2 h h b m d l Z C B U e X B l L n t D b 2 x 1 b W 4 y L D F 9 J n F 1 b 3 Q 7 L C Z x d W 9 0 O 1 N l Y 3 R p b 2 4 x L 1 N V T T I w M T M v Q 2 h h b m d l Z C B U e X B l L n s g I E 1 p b m U g L D J 9 J n F 1 b 3 Q 7 L C Z x d W 9 0 O 1 N l Y 3 R p b 2 4 x L 1 N V T T I w M T M v Q 2 h h b m d l Z C B U e X B l L n s y M D E z I F B y b 2 R 1 Y 3 R p b 2 4 g K F N o b 3 J 0 I F R v b n M p L D N 9 J n F 1 b 3 Q 7 L C Z x d W 9 0 O 1 N l Y 3 R p b 2 4 x L 1 N V T T I w M T M v Q 2 h h b m d l Z C B U e X B l L n t B Y 3 J l c y A g I E J v b m R l Z C w 0 f S Z x d W 9 0 O y w m c X V v d D t T Z W N 0 a W 9 u M S 9 T V U 0 y M D E z L 0 N o Y W 5 n Z W Q g V H l w Z S 5 7 Q W N y Z X M g R G l z d H V y Y m V k L D V 9 J n F 1 b 3 Q 7 L C Z x d W 9 0 O 1 N l Y 3 R p b 2 4 x L 1 N V T T I w M T M v Q 2 h h b m d l Z C B U e X B l L n t B Y 3 J l c y A g I C B N a W 5 l Z C w 2 f S Z x d W 9 0 O y w m c X V v d D t T Z W N 0 a W 9 u M S 9 T V U 0 y M D E z L 0 N o Y W 5 n Z W Q g V H l w Z S 5 7 U 2 h v c n Q g V G 9 u c y 8 g I C A g I C A g I C A g I C A g Q W N y Z S B N a W 5 l Z C w 3 f S Z x d W 9 0 O y w m c X V v d D t T Z W N 0 a W 9 u M S 9 T V U 0 y M D E z L 0 N o Y W 5 n Z W Q g V H l w Z S 5 7 I C w 4 f S Z x d W 9 0 O y w m c X V v d D t T Z W N 0 a W 9 u M S 9 T V U 0 y M D E z L 0 N o Y W 5 n Z W Q g V H l w Z S 5 7 V G 9 0 Y W w g R m V l I E N v b G x l Y 3 R l Z C A s O X 0 m c X V v d D s s J n F 1 b 3 Q 7 U 2 V j d G l v b j E v U 1 V N M j A x M y 9 D a G F u Z 2 V k I F R 5 c G U u e y B f M S w x M H 0 m c X V v d D s s J n F 1 b 3 Q 7 U 2 V j d G l v b j E v U 1 V N M j A x M y 9 D a G F u Z 2 V k I F R 5 c G U u e 0 N v b H V t b j E y L D E x f S Z x d W 9 0 O y w m c X V v d D t T Z W N 0 a W 9 u M S 9 T V U 0 y M D E z L 0 N o Y W 5 n Z W Q g V H l w Z S 5 7 M j A x M i B Q c m 9 k d W N 0 a W 9 u I C h T a G 9 y d C B U b 2 5 z K S w x M n 0 m c X V v d D s s J n F 1 b 3 Q 7 U 2 V j d G l v b j E v U 1 V N M j A x M y 9 D a G F u Z 2 V k I F R 5 c G U u e 0 R p Z m Z l c m V u Y 2 U s M T N 9 J n F 1 b 3 Q 7 L C Z x d W 9 0 O 1 N l Y 3 R p b 2 4 x L 1 N V T T I w M T M v Q 2 h h b m d l Z C B U e X B l L n s l I G l u Y 3 J l Y X N l L D E 0 f S Z x d W 9 0 O y w m c X V v d D t T Z W N 0 a W 9 u M S 9 T V U 0 y M D E z L 0 N o Y W 5 n Z W Q g V H l w Z S 5 7 M j A x M y B C b 2 5 k Z W Q g Q W N y Z X M g K E F c d T A w M j Z Q K S w x N X 0 m c X V v d D s s J n F 1 b 3 Q 7 U 2 V j d G l v b j E v U 1 V N M j A x M y 9 D a G F u Z 2 V k I F R 5 c G U u e 0 N v b H V t b j E 3 L D E 2 f S Z x d W 9 0 O y w m c X V v d D t T Z W N 0 a W 9 u M S 9 T V U 0 y M D E z L 0 N o Y W 5 n Z W Q g V H l w Z S 5 7 Q 2 9 s d W 1 u M T g s M T d 9 J n F 1 b 3 Q 7 L C Z x d W 9 0 O 1 N l Y 3 R p b 2 4 x L 1 N V T T I w M T M v Q 2 h h b m d l Z C B U e X B l L n t D b 2 x 1 b W 4 x O S w x O H 0 m c X V v d D s s J n F 1 b 3 Q 7 U 2 V j d G l v b j E v U 1 V N M j A x M y 9 D a G F u Z 2 V k I F R 5 c G U u e 0 N v b H V t b j I w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1 V N M j A x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z L 1 N V T T I w M T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z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T I w M T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Q t M j B U M T Y 6 N T M 6 N D E u M j g 2 N T A 2 O F o i I C 8 + P E V u d H J 5 I F R 5 c G U 9 I k Z p b G x D b 2 x 1 b W 5 U e X B l c y I g V m F s d W U 9 I n N B Q U F H Q X d V Q U J R V U d C U V l B Q X d N Q U J R V U Z B Q U F H Q U F B Q U F 3 P T 0 i I C 8 + P E V u d H J 5 I F R 5 c G U 9 I k Z p b G x D b 2 x 1 b W 5 O Y W 1 l c y I g V m F s d W U 9 I n N b J n F 1 b 3 Q 7 Q 2 9 t c G F u e S Z x d W 9 0 O y w m c X V v d D t D b 2 x 1 b W 4 y J n F 1 b 3 Q 7 L C Z x d W 9 0 O y A g T W l u Z S A m c X V v d D s s J n F 1 b 3 Q 7 M j A x N C B Q c m 9 k d W N 0 a W 9 u I C h T a G 9 y d C B U b 2 5 z K S Z x d W 9 0 O y w m c X V v d D t B Y 3 J l c y A g I E J v b m R l Z C Z x d W 9 0 O y w m c X V v d D t B Y 3 J l c y B E a X N 0 d X J i Z W Q m c X V v d D s s J n F 1 b 3 Q 7 Q W N y Z X M g I C A g T W l u Z W Q m c X V v d D s s J n F 1 b 3 Q 7 U 2 h v c n Q g V G 9 u c y 8 g I C A g I C A g I C A g I C A g Q W N y Z S B N a W 5 l Z C Z x d W 9 0 O y w m c X V v d D s g J n F 1 b 3 Q 7 L C Z x d W 9 0 O 1 R v d G F s I E Z l Z S B D b 2 x s Z W N 0 Z W Q g J n F 1 b 3 Q 7 L C Z x d W 9 0 O y B f M S Z x d W 9 0 O y w m c X V v d D t D b 2 x 1 b W 4 x M i Z x d W 9 0 O y w m c X V v d D s y M D E z I F B y b 2 R 1 Y 3 R p b 2 4 g K F N o b 3 J 0 I F R v b n M p J n F 1 b 3 Q 7 L C Z x d W 9 0 O 0 R p Z m Z l c m V u Y 2 U m c X V v d D s s J n F 1 b 3 Q 7 J S B p b m N y Z W F z Z S Z x d W 9 0 O y w m c X V v d D s y M D E 0 I E J v b m R l Z C B B Y 3 J l c y A o Q V x 1 M D A y N l A p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T T I w M T Q v Q 2 h h b m d l Z C B U e X B l L n t D b 2 1 w Y W 5 5 L D B 9 J n F 1 b 3 Q 7 L C Z x d W 9 0 O 1 N l Y 3 R p b 2 4 x L 1 N V T T I w M T Q v Q 2 h h b m d l Z C B U e X B l L n t D b 2 x 1 b W 4 y L D F 9 J n F 1 b 3 Q 7 L C Z x d W 9 0 O 1 N l Y 3 R p b 2 4 x L 1 N V T T I w M T Q v Q 2 h h b m d l Z C B U e X B l L n s g I E 1 p b m U g L D J 9 J n F 1 b 3 Q 7 L C Z x d W 9 0 O 1 N l Y 3 R p b 2 4 x L 1 N V T T I w M T Q v Q 2 h h b m d l Z C B U e X B l L n s y M D E 0 I F B y b 2 R 1 Y 3 R p b 2 4 g K F N o b 3 J 0 I F R v b n M p L D N 9 J n F 1 b 3 Q 7 L C Z x d W 9 0 O 1 N l Y 3 R p b 2 4 x L 1 N V T T I w M T Q v Q 2 h h b m d l Z C B U e X B l L n t B Y 3 J l c y A g I E J v b m R l Z C w 0 f S Z x d W 9 0 O y w m c X V v d D t T Z W N 0 a W 9 u M S 9 T V U 0 y M D E 0 L 0 N o Y W 5 n Z W Q g V H l w Z S 5 7 Q W N y Z X M g R G l z d H V y Y m V k L D V 9 J n F 1 b 3 Q 7 L C Z x d W 9 0 O 1 N l Y 3 R p b 2 4 x L 1 N V T T I w M T Q v Q 2 h h b m d l Z C B U e X B l L n t B Y 3 J l c y A g I C B N a W 5 l Z C w 2 f S Z x d W 9 0 O y w m c X V v d D t T Z W N 0 a W 9 u M S 9 T V U 0 y M D E 0 L 0 N o Y W 5 n Z W Q g V H l w Z S 5 7 U 2 h v c n Q g V G 9 u c y 8 g I C A g I C A g I C A g I C A g Q W N y Z S B N a W 5 l Z C w 3 f S Z x d W 9 0 O y w m c X V v d D t T Z W N 0 a W 9 u M S 9 T V U 0 y M D E 0 L 0 N o Y W 5 n Z W Q g V H l w Z S 5 7 I C w 4 f S Z x d W 9 0 O y w m c X V v d D t T Z W N 0 a W 9 u M S 9 T V U 0 y M D E 0 L 0 N o Y W 5 n Z W Q g V H l w Z S 5 7 V G 9 0 Y W w g R m V l I E N v b G x l Y 3 R l Z C A s O X 0 m c X V v d D s s J n F 1 b 3 Q 7 U 2 V j d G l v b j E v U 1 V N M j A x N C 9 D a G F u Z 2 V k I F R 5 c G U u e y B f M S w x M H 0 m c X V v d D s s J n F 1 b 3 Q 7 U 2 V j d G l v b j E v U 1 V N M j A x N C 9 D a G F u Z 2 V k I F R 5 c G U u e 0 N v b H V t b j E y L D E x f S Z x d W 9 0 O y w m c X V v d D t T Z W N 0 a W 9 u M S 9 T V U 0 y M D E 0 L 0 N o Y W 5 n Z W Q g V H l w Z S 5 7 M j A x M y B Q c m 9 k d W N 0 a W 9 u I C h T a G 9 y d C B U b 2 5 z K S w x M n 0 m c X V v d D s s J n F 1 b 3 Q 7 U 2 V j d G l v b j E v U 1 V N M j A x N C 9 D a G F u Z 2 V k I F R 5 c G U u e 0 R p Z m Z l c m V u Y 2 U s M T N 9 J n F 1 b 3 Q 7 L C Z x d W 9 0 O 1 N l Y 3 R p b 2 4 x L 1 N V T T I w M T Q v Q 2 h h b m d l Z C B U e X B l L n s l I G l u Y 3 J l Y X N l L D E 0 f S Z x d W 9 0 O y w m c X V v d D t T Z W N 0 a W 9 u M S 9 T V U 0 y M D E 0 L 0 N o Y W 5 n Z W Q g V H l w Z S 5 7 M j A x N C B C b 2 5 k Z W Q g Q W N y Z X M g K E F c d T A w M j Z Q K S w x N X 0 m c X V v d D s s J n F 1 b 3 Q 7 U 2 V j d G l v b j E v U 1 V N M j A x N C 9 D a G F u Z 2 V k I F R 5 c G U u e 0 N v b H V t b j E 3 L D E 2 f S Z x d W 9 0 O y w m c X V v d D t T Z W N 0 a W 9 u M S 9 T V U 0 y M D E 0 L 0 N o Y W 5 n Z W Q g V H l w Z S 5 7 Q 2 9 s d W 1 u M T g s M T d 9 J n F 1 b 3 Q 7 L C Z x d W 9 0 O 1 N l Y 3 R p b 2 4 x L 1 N V T T I w M T Q v Q 2 h h b m d l Z C B U e X B l L n t D b 2 x 1 b W 4 x O S w x O H 0 m c X V v d D s s J n F 1 b 3 Q 7 U 2 V j d G l v b j E v U 1 V N M j A x N C 9 D a G F u Z 2 V k I F R 5 c G U u e 0 N v b H V t b j I w L D E 5 f S Z x d W 9 0 O y w m c X V v d D t T Z W N 0 a W 9 u M S 9 T V U 0 y M D E 0 L 0 N o Y W 5 n Z W Q g V H l w Z S 5 7 Q 2 9 s d W 1 u M j E s M j B 9 J n F 1 b 3 Q 7 L C Z x d W 9 0 O 1 N l Y 3 R p b 2 4 x L 1 N V T T I w M T Q v Q 2 h h b m d l Z C B U e X B l L n t D b 2 x 1 b W 4 y M i w y M X 0 m c X V v d D s s J n F 1 b 3 Q 7 U 2 V j d G l v b j E v U 1 V N M j A x N C 9 D a G F u Z 2 V k I F R 5 c G U u e 0 N v b H V t b j I z L D I y f S Z x d W 9 0 O y w m c X V v d D t T Z W N 0 a W 9 u M S 9 T V U 0 y M D E 0 L 0 N o Y W 5 n Z W Q g V H l w Z S 5 7 Q 2 9 s d W 1 u M j Q s M j N 9 J n F 1 b 3 Q 7 L C Z x d W 9 0 O 1 N l Y 3 R p b 2 4 x L 1 N V T T I w M T Q v Q 2 h h b m d l Z C B U e X B l L n t D b 2 x 1 b W 4 y N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1 N V T T I w M T Q v Q 2 h h b m d l Z C B U e X B l L n t D b 2 1 w Y W 5 5 L D B 9 J n F 1 b 3 Q 7 L C Z x d W 9 0 O 1 N l Y 3 R p b 2 4 x L 1 N V T T I w M T Q v Q 2 h h b m d l Z C B U e X B l L n t D b 2 x 1 b W 4 y L D F 9 J n F 1 b 3 Q 7 L C Z x d W 9 0 O 1 N l Y 3 R p b 2 4 x L 1 N V T T I w M T Q v Q 2 h h b m d l Z C B U e X B l L n s g I E 1 p b m U g L D J 9 J n F 1 b 3 Q 7 L C Z x d W 9 0 O 1 N l Y 3 R p b 2 4 x L 1 N V T T I w M T Q v Q 2 h h b m d l Z C B U e X B l L n s y M D E 0 I F B y b 2 R 1 Y 3 R p b 2 4 g K F N o b 3 J 0 I F R v b n M p L D N 9 J n F 1 b 3 Q 7 L C Z x d W 9 0 O 1 N l Y 3 R p b 2 4 x L 1 N V T T I w M T Q v Q 2 h h b m d l Z C B U e X B l L n t B Y 3 J l c y A g I E J v b m R l Z C w 0 f S Z x d W 9 0 O y w m c X V v d D t T Z W N 0 a W 9 u M S 9 T V U 0 y M D E 0 L 0 N o Y W 5 n Z W Q g V H l w Z S 5 7 Q W N y Z X M g R G l z d H V y Y m V k L D V 9 J n F 1 b 3 Q 7 L C Z x d W 9 0 O 1 N l Y 3 R p b 2 4 x L 1 N V T T I w M T Q v Q 2 h h b m d l Z C B U e X B l L n t B Y 3 J l c y A g I C B N a W 5 l Z C w 2 f S Z x d W 9 0 O y w m c X V v d D t T Z W N 0 a W 9 u M S 9 T V U 0 y M D E 0 L 0 N o Y W 5 n Z W Q g V H l w Z S 5 7 U 2 h v c n Q g V G 9 u c y 8 g I C A g I C A g I C A g I C A g Q W N y Z S B N a W 5 l Z C w 3 f S Z x d W 9 0 O y w m c X V v d D t T Z W N 0 a W 9 u M S 9 T V U 0 y M D E 0 L 0 N o Y W 5 n Z W Q g V H l w Z S 5 7 I C w 4 f S Z x d W 9 0 O y w m c X V v d D t T Z W N 0 a W 9 u M S 9 T V U 0 y M D E 0 L 0 N o Y W 5 n Z W Q g V H l w Z S 5 7 V G 9 0 Y W w g R m V l I E N v b G x l Y 3 R l Z C A s O X 0 m c X V v d D s s J n F 1 b 3 Q 7 U 2 V j d G l v b j E v U 1 V N M j A x N C 9 D a G F u Z 2 V k I F R 5 c G U u e y B f M S w x M H 0 m c X V v d D s s J n F 1 b 3 Q 7 U 2 V j d G l v b j E v U 1 V N M j A x N C 9 D a G F u Z 2 V k I F R 5 c G U u e 0 N v b H V t b j E y L D E x f S Z x d W 9 0 O y w m c X V v d D t T Z W N 0 a W 9 u M S 9 T V U 0 y M D E 0 L 0 N o Y W 5 n Z W Q g V H l w Z S 5 7 M j A x M y B Q c m 9 k d W N 0 a W 9 u I C h T a G 9 y d C B U b 2 5 z K S w x M n 0 m c X V v d D s s J n F 1 b 3 Q 7 U 2 V j d G l v b j E v U 1 V N M j A x N C 9 D a G F u Z 2 V k I F R 5 c G U u e 0 R p Z m Z l c m V u Y 2 U s M T N 9 J n F 1 b 3 Q 7 L C Z x d W 9 0 O 1 N l Y 3 R p b 2 4 x L 1 N V T T I w M T Q v Q 2 h h b m d l Z C B U e X B l L n s l I G l u Y 3 J l Y X N l L D E 0 f S Z x d W 9 0 O y w m c X V v d D t T Z W N 0 a W 9 u M S 9 T V U 0 y M D E 0 L 0 N o Y W 5 n Z W Q g V H l w Z S 5 7 M j A x N C B C b 2 5 k Z W Q g Q W N y Z X M g K E F c d T A w M j Z Q K S w x N X 0 m c X V v d D s s J n F 1 b 3 Q 7 U 2 V j d G l v b j E v U 1 V N M j A x N C 9 D a G F u Z 2 V k I F R 5 c G U u e 0 N v b H V t b j E 3 L D E 2 f S Z x d W 9 0 O y w m c X V v d D t T Z W N 0 a W 9 u M S 9 T V U 0 y M D E 0 L 0 N o Y W 5 n Z W Q g V H l w Z S 5 7 Q 2 9 s d W 1 u M T g s M T d 9 J n F 1 b 3 Q 7 L C Z x d W 9 0 O 1 N l Y 3 R p b 2 4 x L 1 N V T T I w M T Q v Q 2 h h b m d l Z C B U e X B l L n t D b 2 x 1 b W 4 x O S w x O H 0 m c X V v d D s s J n F 1 b 3 Q 7 U 2 V j d G l v b j E v U 1 V N M j A x N C 9 D a G F u Z 2 V k I F R 5 c G U u e 0 N v b H V t b j I w L D E 5 f S Z x d W 9 0 O y w m c X V v d D t T Z W N 0 a W 9 u M S 9 T V U 0 y M D E 0 L 0 N o Y W 5 n Z W Q g V H l w Z S 5 7 Q 2 9 s d W 1 u M j E s M j B 9 J n F 1 b 3 Q 7 L C Z x d W 9 0 O 1 N l Y 3 R p b 2 4 x L 1 N V T T I w M T Q v Q 2 h h b m d l Z C B U e X B l L n t D b 2 x 1 b W 4 y M i w y M X 0 m c X V v d D s s J n F 1 b 3 Q 7 U 2 V j d G l v b j E v U 1 V N M j A x N C 9 D a G F u Z 2 V k I F R 5 c G U u e 0 N v b H V t b j I z L D I y f S Z x d W 9 0 O y w m c X V v d D t T Z W N 0 a W 9 u M S 9 T V U 0 y M D E 0 L 0 N o Y W 5 n Z W Q g V H l w Z S 5 7 Q 2 9 s d W 1 u M j Q s M j N 9 J n F 1 b 3 Q 7 L C Z x d W 9 0 O 1 N l Y 3 R p b 2 4 x L 1 N V T T I w M T Q v Q 2 h h b m d l Z C B U e X B l L n t D b 2 x 1 b W 4 y N S w y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V T T I w M T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M j A x N C 9 T V U 0 y M D E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N M j A x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0 y M D E 0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D N K y + a + H F B G r o 1 / V o y u 6 + 4 A A A A A A g A A A A A A A 2 Y A A M A A A A A Q A A A A C h o Q W f X 7 V l f F m 2 B 7 B Y b d / Q A A A A A E g A A A o A A A A B A A A A A e J V + C e I 6 v N 6 j E 6 P J r h A w 8 U A A A A E V c v 4 / S u D Z y J T V j w 3 a l N v g G E / q r J 3 c X 2 N H B S p / l 9 + b k P 1 Q V v q 5 0 c A x q F s 8 g T k 2 x 6 I q 1 + c P j r x 4 7 N G R r D i R t t B Z R P X A 5 y F j x x T l H 5 W L s C 1 k p F A A A A D 4 9 6 b P d m a S W C 1 O S p v s Z s J i 3 U 2 o L < / D a t a M a s h u p > 
</file>

<file path=customXml/itemProps1.xml><?xml version="1.0" encoding="utf-8"?>
<ds:datastoreItem xmlns:ds="http://schemas.openxmlformats.org/officeDocument/2006/customXml" ds:itemID="{2A9646F3-1403-455E-8867-1AD12A6537B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29</vt:i4>
      </vt:variant>
    </vt:vector>
  </HeadingPairs>
  <TitlesOfParts>
    <vt:vector size="58" baseType="lpstr">
      <vt:lpstr>Annual Production thru 2021</vt:lpstr>
      <vt:lpstr>Annual Permit Fees 2021</vt:lpstr>
      <vt:lpstr>12-Yr Prod Summary</vt:lpstr>
      <vt:lpstr>Graphs</vt:lpstr>
      <vt:lpstr>SUM 2021</vt:lpstr>
      <vt:lpstr>SUM 2020</vt:lpstr>
      <vt:lpstr>SUM 2019</vt:lpstr>
      <vt:lpstr>SUM 2018</vt:lpstr>
      <vt:lpstr>SUM 2017</vt:lpstr>
      <vt:lpstr>SUM 2016</vt:lpstr>
      <vt:lpstr>SUM 2015</vt:lpstr>
      <vt:lpstr>SUM2014</vt:lpstr>
      <vt:lpstr>SUM2013</vt:lpstr>
      <vt:lpstr>SUM2012</vt:lpstr>
      <vt:lpstr>SUM2011</vt:lpstr>
      <vt:lpstr>SUM2010</vt:lpstr>
      <vt:lpstr>SUM2009</vt:lpstr>
      <vt:lpstr>SUM2008</vt:lpstr>
      <vt:lpstr>SUM2007</vt:lpstr>
      <vt:lpstr>SUM2006</vt:lpstr>
      <vt:lpstr>SUM2005</vt:lpstr>
      <vt:lpstr>SUM2004</vt:lpstr>
      <vt:lpstr>Sheet1</vt:lpstr>
      <vt:lpstr>SUM2003</vt:lpstr>
      <vt:lpstr>SUM2002</vt:lpstr>
      <vt:lpstr>SUM2001</vt:lpstr>
      <vt:lpstr>SUM2000</vt:lpstr>
      <vt:lpstr>Thru 1999</vt:lpstr>
      <vt:lpstr>A</vt:lpstr>
      <vt:lpstr>'12-Yr Prod Summary'!Darco_receipts_2002___2009</vt:lpstr>
      <vt:lpstr>'12-Yr Prod Summary'!Print_Area</vt:lpstr>
      <vt:lpstr>A!Print_Area</vt:lpstr>
      <vt:lpstr>'Annual Permit Fees 2021'!Print_Area</vt:lpstr>
      <vt:lpstr>'Annual Production thru 2021'!Print_Area</vt:lpstr>
      <vt:lpstr>'SUM 2015'!Print_Area</vt:lpstr>
      <vt:lpstr>'SUM 2017'!Print_Area</vt:lpstr>
      <vt:lpstr>'SUM 2019'!Print_Area</vt:lpstr>
      <vt:lpstr>'SUM 2020'!Print_Area</vt:lpstr>
      <vt:lpstr>'SUM 2021'!Print_Area</vt:lpstr>
      <vt:lpstr>'SUM2000'!Print_Area</vt:lpstr>
      <vt:lpstr>'SUM2001'!Print_Area</vt:lpstr>
      <vt:lpstr>'SUM2002'!Print_Area</vt:lpstr>
      <vt:lpstr>'SUM2003'!Print_Area</vt:lpstr>
      <vt:lpstr>'SUM2005'!Print_Area</vt:lpstr>
      <vt:lpstr>'SUM2006'!Print_Area</vt:lpstr>
      <vt:lpstr>'SUM2007'!Print_Area</vt:lpstr>
      <vt:lpstr>'SUM2008'!Print_Area</vt:lpstr>
      <vt:lpstr>'SUM2009'!Print_Area</vt:lpstr>
      <vt:lpstr>'SUM2010'!Print_Area</vt:lpstr>
      <vt:lpstr>'SUM2011'!Print_Area</vt:lpstr>
      <vt:lpstr>'SUM2012'!Print_Area</vt:lpstr>
      <vt:lpstr>'SUM2013'!Print_Area</vt:lpstr>
      <vt:lpstr>'SUM2014'!Print_Area</vt:lpstr>
      <vt:lpstr>'Thru 1999'!Print_Area</vt:lpstr>
      <vt:lpstr>A!Print_Titles</vt:lpstr>
      <vt:lpstr>'Annual Production thru 2021'!Print_Titles</vt:lpstr>
      <vt:lpstr>'SUM2000'!Print_Titles</vt:lpstr>
      <vt:lpstr>'Thru 1999'!Print_Titles</vt:lpstr>
    </vt:vector>
  </TitlesOfParts>
  <Company>Railroad Commission of Texas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</dc:creator>
  <cp:lastModifiedBy>Sharon Walter</cp:lastModifiedBy>
  <cp:lastPrinted>2022-05-25T11:58:58Z</cp:lastPrinted>
  <dcterms:created xsi:type="dcterms:W3CDTF">1997-02-28T07:31:07Z</dcterms:created>
  <dcterms:modified xsi:type="dcterms:W3CDTF">2022-05-25T11:59:27Z</dcterms:modified>
</cp:coreProperties>
</file>